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7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7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7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7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7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7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7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8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8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8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8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8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ublicaciones\Public variedades olivo control\publicacion curvas tiempo cero\manuscrito\Documentos definitivos sometidos\"/>
    </mc:Choice>
  </mc:AlternateContent>
  <bookViews>
    <workbookView xWindow="0" yWindow="0" windowWidth="15530" windowHeight="7050" firstSheet="3" activeTab="4"/>
  </bookViews>
  <sheets>
    <sheet name="Table_1 Parameters P_I Curve" sheetId="1" r:id="rId1"/>
    <sheet name="Table_2 Parameters ETR_I Curve" sheetId="2" r:id="rId2"/>
    <sheet name="Table_3 Parameters ETR_I Curve" sheetId="3" r:id="rId3"/>
    <sheet name="Figure 1_Curves A_I" sheetId="8" r:id="rId4"/>
    <sheet name="Figure 2_Curves ETR" sheetId="9" r:id="rId5"/>
  </sheets>
  <externalReferences>
    <externalReference r:id="rId6"/>
    <externalReference r:id="rId7"/>
  </externalReferences>
  <definedNames>
    <definedName name="_xlnm._FilterDatabase" localSheetId="0" hidden="1">'Table_2 Parameters ETR_I Curve'!$J$1:$P$439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90" i="9" l="1"/>
  <c r="AY90" i="9"/>
  <c r="U90" i="9"/>
  <c r="BM32" i="9"/>
  <c r="AY32" i="9"/>
  <c r="U32" i="9"/>
  <c r="BM90" i="8" l="1"/>
  <c r="U90" i="8"/>
  <c r="AY86" i="8"/>
  <c r="BM32" i="8"/>
  <c r="U32" i="8"/>
  <c r="AY28" i="8"/>
  <c r="O410" i="3" l="1"/>
  <c r="O411" i="3" s="1"/>
  <c r="N410" i="3"/>
  <c r="M410" i="3"/>
  <c r="M411" i="3" s="1"/>
  <c r="O409" i="3"/>
  <c r="N409" i="3"/>
  <c r="M409" i="3"/>
  <c r="O398" i="3"/>
  <c r="O399" i="3" s="1"/>
  <c r="N398" i="3"/>
  <c r="N399" i="3" s="1"/>
  <c r="M398" i="3"/>
  <c r="O397" i="3"/>
  <c r="N397" i="3"/>
  <c r="O391" i="3"/>
  <c r="M391" i="3"/>
  <c r="M389" i="3"/>
  <c r="M397" i="3" s="1"/>
  <c r="M388" i="3"/>
  <c r="O387" i="3"/>
  <c r="O388" i="3" s="1"/>
  <c r="M387" i="3"/>
  <c r="O386" i="3"/>
  <c r="M386" i="3"/>
  <c r="N384" i="3"/>
  <c r="N387" i="3" s="1"/>
  <c r="N375" i="3"/>
  <c r="M375" i="3"/>
  <c r="M376" i="3" s="1"/>
  <c r="N374" i="3"/>
  <c r="M374" i="3"/>
  <c r="O370" i="3"/>
  <c r="O375" i="3" s="1"/>
  <c r="M370" i="3"/>
  <c r="N369" i="3"/>
  <c r="M366" i="3"/>
  <c r="M360" i="3"/>
  <c r="M356" i="3" s="1"/>
  <c r="O359" i="3"/>
  <c r="O360" i="3" s="1"/>
  <c r="O356" i="3" s="1"/>
  <c r="N359" i="3"/>
  <c r="N360" i="3" s="1"/>
  <c r="N356" i="3" s="1"/>
  <c r="M359" i="3"/>
  <c r="N351" i="3"/>
  <c r="M351" i="3"/>
  <c r="M352" i="3" s="1"/>
  <c r="N350" i="3"/>
  <c r="N352" i="3" s="1"/>
  <c r="M350" i="3"/>
  <c r="O348" i="3"/>
  <c r="O351" i="3" s="1"/>
  <c r="M348" i="3"/>
  <c r="O342" i="3"/>
  <c r="N342" i="3"/>
  <c r="M342" i="3"/>
  <c r="M343" i="3" s="1"/>
  <c r="O341" i="3"/>
  <c r="N341" i="3"/>
  <c r="M341" i="3"/>
  <c r="O330" i="3"/>
  <c r="O331" i="3" s="1"/>
  <c r="N330" i="3"/>
  <c r="N331" i="3" s="1"/>
  <c r="M330" i="3"/>
  <c r="M331" i="3" s="1"/>
  <c r="O329" i="3"/>
  <c r="M329" i="3"/>
  <c r="N328" i="3"/>
  <c r="N329" i="3" s="1"/>
  <c r="N318" i="3"/>
  <c r="N317" i="3"/>
  <c r="O312" i="3"/>
  <c r="O317" i="3" s="1"/>
  <c r="M312" i="3"/>
  <c r="M318" i="3" s="1"/>
  <c r="N306" i="3"/>
  <c r="N307" i="3" s="1"/>
  <c r="M306" i="3"/>
  <c r="M307" i="3" s="1"/>
  <c r="N305" i="3"/>
  <c r="M305" i="3"/>
  <c r="O302" i="3"/>
  <c r="O306" i="3" s="1"/>
  <c r="M302" i="3"/>
  <c r="O294" i="3"/>
  <c r="O295" i="3" s="1"/>
  <c r="M294" i="3"/>
  <c r="M295" i="3" s="1"/>
  <c r="O293" i="3"/>
  <c r="M293" i="3"/>
  <c r="N291" i="3"/>
  <c r="N293" i="3" s="1"/>
  <c r="O285" i="3"/>
  <c r="N285" i="3"/>
  <c r="M285" i="3"/>
  <c r="O284" i="3"/>
  <c r="N284" i="3"/>
  <c r="M284" i="3"/>
  <c r="M280" i="3"/>
  <c r="M286" i="3" s="1"/>
  <c r="O279" i="3"/>
  <c r="O280" i="3" s="1"/>
  <c r="N279" i="3"/>
  <c r="N280" i="3" s="1"/>
  <c r="M279" i="3"/>
  <c r="O278" i="3"/>
  <c r="N278" i="3"/>
  <c r="M278" i="3"/>
  <c r="O271" i="3"/>
  <c r="O272" i="3" s="1"/>
  <c r="M271" i="3"/>
  <c r="M272" i="3" s="1"/>
  <c r="O270" i="3"/>
  <c r="M270" i="3"/>
  <c r="N268" i="3"/>
  <c r="N271" i="3" s="1"/>
  <c r="N272" i="3" s="1"/>
  <c r="O254" i="3"/>
  <c r="O260" i="3" s="1"/>
  <c r="O261" i="3" s="1"/>
  <c r="N254" i="3"/>
  <c r="M254" i="3"/>
  <c r="O249" i="3"/>
  <c r="O248" i="3"/>
  <c r="O250" i="3" s="1"/>
  <c r="O251" i="3" s="1"/>
  <c r="M248" i="3"/>
  <c r="M249" i="3" s="1"/>
  <c r="O236" i="3"/>
  <c r="N236" i="3"/>
  <c r="M236" i="3"/>
  <c r="O235" i="3"/>
  <c r="N235" i="3"/>
  <c r="M235" i="3"/>
  <c r="N233" i="3"/>
  <c r="N238" i="3" s="1"/>
  <c r="M233" i="3"/>
  <c r="M238" i="3" s="1"/>
  <c r="M239" i="3" s="1"/>
  <c r="O229" i="3"/>
  <c r="O227" i="3"/>
  <c r="O230" i="3" s="1"/>
  <c r="O231" i="3" s="1"/>
  <c r="N226" i="3"/>
  <c r="O220" i="3"/>
  <c r="N220" i="3"/>
  <c r="M220" i="3"/>
  <c r="O218" i="3"/>
  <c r="O219" i="3" s="1"/>
  <c r="N218" i="3"/>
  <c r="N219" i="3" s="1"/>
  <c r="O217" i="3"/>
  <c r="N217" i="3"/>
  <c r="M214" i="3"/>
  <c r="M217" i="3" s="1"/>
  <c r="N213" i="3"/>
  <c r="N204" i="3"/>
  <c r="N202" i="3" s="1"/>
  <c r="O202" i="3"/>
  <c r="O210" i="3" s="1"/>
  <c r="O211" i="3" s="1"/>
  <c r="M202" i="3"/>
  <c r="M210" i="3" s="1"/>
  <c r="M211" i="3" s="1"/>
  <c r="O195" i="3"/>
  <c r="O196" i="3" s="1"/>
  <c r="O194" i="3"/>
  <c r="M190" i="3"/>
  <c r="M187" i="3"/>
  <c r="M194" i="3" s="1"/>
  <c r="N186" i="3"/>
  <c r="N191" i="3" s="1"/>
  <c r="N194" i="3" s="1"/>
  <c r="N180" i="3"/>
  <c r="N183" i="3" s="1"/>
  <c r="O179" i="3"/>
  <c r="O183" i="3" s="1"/>
  <c r="M179" i="3"/>
  <c r="M183" i="3" s="1"/>
  <c r="M177" i="3"/>
  <c r="M178" i="3" s="1"/>
  <c r="O173" i="3"/>
  <c r="O177" i="3" s="1"/>
  <c r="O178" i="3" s="1"/>
  <c r="N173" i="3"/>
  <c r="N177" i="3" s="1"/>
  <c r="N178" i="3" s="1"/>
  <c r="M173" i="3"/>
  <c r="M176" i="3" s="1"/>
  <c r="M170" i="3"/>
  <c r="O165" i="3"/>
  <c r="O166" i="3" s="1"/>
  <c r="N165" i="3"/>
  <c r="N166" i="3" s="1"/>
  <c r="O164" i="3"/>
  <c r="N164" i="3"/>
  <c r="M159" i="3"/>
  <c r="M165" i="3" s="1"/>
  <c r="M166" i="3" s="1"/>
  <c r="O151" i="3"/>
  <c r="M150" i="3"/>
  <c r="M145" i="3" s="1"/>
  <c r="M148" i="3"/>
  <c r="O145" i="3"/>
  <c r="O152" i="3" s="1"/>
  <c r="O153" i="3" s="1"/>
  <c r="N145" i="3"/>
  <c r="N152" i="3" s="1"/>
  <c r="N153" i="3" s="1"/>
  <c r="O141" i="3"/>
  <c r="N141" i="3"/>
  <c r="O140" i="3"/>
  <c r="N140" i="3"/>
  <c r="O139" i="3"/>
  <c r="N139" i="3"/>
  <c r="M138" i="3"/>
  <c r="M139" i="3" s="1"/>
  <c r="M134" i="3"/>
  <c r="M140" i="3" s="1"/>
  <c r="M141" i="3" s="1"/>
  <c r="O128" i="3"/>
  <c r="O129" i="3" s="1"/>
  <c r="M128" i="3"/>
  <c r="M129" i="3" s="1"/>
  <c r="O127" i="3"/>
  <c r="O126" i="3"/>
  <c r="M126" i="3"/>
  <c r="M127" i="3" s="1"/>
  <c r="N125" i="3"/>
  <c r="N124" i="3" s="1"/>
  <c r="O117" i="3"/>
  <c r="N117" i="3"/>
  <c r="O116" i="3"/>
  <c r="N116" i="3"/>
  <c r="M116" i="3"/>
  <c r="M117" i="3" s="1"/>
  <c r="O115" i="3"/>
  <c r="N115" i="3"/>
  <c r="M115" i="3"/>
  <c r="O104" i="3"/>
  <c r="N104" i="3"/>
  <c r="M104" i="3"/>
  <c r="O103" i="3"/>
  <c r="N103" i="3"/>
  <c r="M103" i="3"/>
  <c r="O98" i="3"/>
  <c r="M98" i="3"/>
  <c r="M99" i="3" s="1"/>
  <c r="O97" i="3"/>
  <c r="N94" i="3"/>
  <c r="N97" i="3" s="1"/>
  <c r="M94" i="3"/>
  <c r="M97" i="3" s="1"/>
  <c r="O91" i="3"/>
  <c r="O92" i="3" s="1"/>
  <c r="N91" i="3"/>
  <c r="N92" i="3" s="1"/>
  <c r="O90" i="3"/>
  <c r="N90" i="3"/>
  <c r="M90" i="3"/>
  <c r="M84" i="3"/>
  <c r="M91" i="3" s="1"/>
  <c r="M92" i="3" s="1"/>
  <c r="M81" i="3"/>
  <c r="M80" i="3"/>
  <c r="O76" i="3"/>
  <c r="O81" i="3" s="1"/>
  <c r="N76" i="3"/>
  <c r="N81" i="3" s="1"/>
  <c r="M76" i="3"/>
  <c r="O74" i="3"/>
  <c r="O75" i="3" s="1"/>
  <c r="N74" i="3"/>
  <c r="N75" i="3" s="1"/>
  <c r="M74" i="3"/>
  <c r="O73" i="3"/>
  <c r="M73" i="3"/>
  <c r="N71" i="3"/>
  <c r="N73" i="3" s="1"/>
  <c r="O68" i="3"/>
  <c r="O69" i="3" s="1"/>
  <c r="O66" i="3"/>
  <c r="O67" i="3" s="1"/>
  <c r="N66" i="3"/>
  <c r="N68" i="3" s="1"/>
  <c r="N69" i="3" s="1"/>
  <c r="M66" i="3"/>
  <c r="M64" i="3"/>
  <c r="M68" i="3" s="1"/>
  <c r="M69" i="3" s="1"/>
  <c r="O59" i="3"/>
  <c r="M59" i="3"/>
  <c r="O58" i="3"/>
  <c r="N58" i="3"/>
  <c r="M58" i="3"/>
  <c r="M55" i="3"/>
  <c r="N54" i="3"/>
  <c r="N59" i="3" s="1"/>
  <c r="O52" i="3"/>
  <c r="O51" i="3"/>
  <c r="M49" i="3"/>
  <c r="M52" i="3" s="1"/>
  <c r="N48" i="3"/>
  <c r="N52" i="3" s="1"/>
  <c r="O45" i="3"/>
  <c r="N45" i="3"/>
  <c r="O44" i="3"/>
  <c r="N44" i="3"/>
  <c r="M44" i="3"/>
  <c r="M42" i="3"/>
  <c r="M45" i="3" s="1"/>
  <c r="M38" i="3"/>
  <c r="M39" i="3" s="1"/>
  <c r="O37" i="3"/>
  <c r="N37" i="3"/>
  <c r="O32" i="3"/>
  <c r="O38" i="3" s="1"/>
  <c r="O39" i="3" s="1"/>
  <c r="O46" i="3" s="1"/>
  <c r="N32" i="3"/>
  <c r="N38" i="3" s="1"/>
  <c r="N39" i="3" s="1"/>
  <c r="N46" i="3" s="1"/>
  <c r="M32" i="3"/>
  <c r="M37" i="3" s="1"/>
  <c r="N30" i="3"/>
  <c r="N29" i="3"/>
  <c r="O26" i="3"/>
  <c r="O30" i="3" s="1"/>
  <c r="M26" i="3"/>
  <c r="M30" i="3" s="1"/>
  <c r="O23" i="3"/>
  <c r="M23" i="3"/>
  <c r="M22" i="3"/>
  <c r="O18" i="3"/>
  <c r="O22" i="3" s="1"/>
  <c r="N18" i="3"/>
  <c r="N23" i="3" s="1"/>
  <c r="M18" i="3"/>
  <c r="O16" i="3"/>
  <c r="N16" i="3"/>
  <c r="O15" i="3"/>
  <c r="N15" i="3"/>
  <c r="M11" i="3"/>
  <c r="M16" i="3" s="1"/>
  <c r="O10" i="3"/>
  <c r="N10" i="3"/>
  <c r="M10" i="3"/>
  <c r="O9" i="3"/>
  <c r="N9" i="3"/>
  <c r="M9" i="3"/>
  <c r="O8" i="3"/>
  <c r="N8" i="3"/>
  <c r="M8" i="3"/>
  <c r="P3" i="2"/>
  <c r="M406" i="2"/>
  <c r="M404" i="2" s="1"/>
  <c r="M409" i="2" s="1"/>
  <c r="O405" i="2"/>
  <c r="O404" i="2" s="1"/>
  <c r="O409" i="2" s="1"/>
  <c r="M398" i="2"/>
  <c r="M397" i="2"/>
  <c r="O390" i="2"/>
  <c r="O397" i="2" s="1"/>
  <c r="O387" i="2"/>
  <c r="M387" i="2"/>
  <c r="O386" i="2"/>
  <c r="M386" i="2"/>
  <c r="M378" i="2"/>
  <c r="M377" i="2"/>
  <c r="O375" i="2"/>
  <c r="O378" i="2" s="1"/>
  <c r="O361" i="2"/>
  <c r="M361" i="2"/>
  <c r="M369" i="2" s="1"/>
  <c r="O357" i="2"/>
  <c r="M357" i="2"/>
  <c r="O356" i="2"/>
  <c r="M356" i="2"/>
  <c r="M350" i="2"/>
  <c r="M349" i="2"/>
  <c r="O347" i="2"/>
  <c r="O343" i="2" s="1"/>
  <c r="O338" i="2"/>
  <c r="O337" i="2"/>
  <c r="M335" i="2"/>
  <c r="M337" i="2" s="1"/>
  <c r="O322" i="2"/>
  <c r="O329" i="2" s="1"/>
  <c r="O330" i="2" s="1"/>
  <c r="M322" i="2"/>
  <c r="M329" i="2" s="1"/>
  <c r="M312" i="2"/>
  <c r="M309" i="2" s="1"/>
  <c r="O311" i="2"/>
  <c r="O319" i="2" s="1"/>
  <c r="M307" i="2"/>
  <c r="M306" i="2"/>
  <c r="O304" i="2"/>
  <c r="O306" i="2" s="1"/>
  <c r="O290" i="2"/>
  <c r="O294" i="2" s="1"/>
  <c r="M290" i="2"/>
  <c r="M294" i="2" s="1"/>
  <c r="M283" i="2"/>
  <c r="M287" i="2" s="1"/>
  <c r="O282" i="2"/>
  <c r="O281" i="2" s="1"/>
  <c r="O268" i="2"/>
  <c r="O276" i="2" s="1"/>
  <c r="M268" i="2"/>
  <c r="M276" i="2" s="1"/>
  <c r="O264" i="2"/>
  <c r="O263" i="2"/>
  <c r="M261" i="2"/>
  <c r="M264" i="2" s="1"/>
  <c r="M258" i="2"/>
  <c r="M257" i="2"/>
  <c r="O251" i="2"/>
  <c r="O257" i="2" s="1"/>
  <c r="M247" i="2"/>
  <c r="M249" i="2" s="1"/>
  <c r="O245" i="2"/>
  <c r="O249" i="2" s="1"/>
  <c r="O241" i="2"/>
  <c r="O243" i="2" s="1"/>
  <c r="O244" i="2" s="1"/>
  <c r="M241" i="2"/>
  <c r="M243" i="2" s="1"/>
  <c r="M232" i="2"/>
  <c r="M234" i="2" s="1"/>
  <c r="O231" i="2"/>
  <c r="O233" i="2" s="1"/>
  <c r="M226" i="2"/>
  <c r="M225" i="2"/>
  <c r="O220" i="2"/>
  <c r="O225" i="2" s="1"/>
  <c r="M216" i="2"/>
  <c r="O215" i="2"/>
  <c r="O217" i="2" s="1"/>
  <c r="M213" i="2"/>
  <c r="M217" i="2" s="1"/>
  <c r="O210" i="2"/>
  <c r="O211" i="2" s="1"/>
  <c r="O209" i="2"/>
  <c r="M208" i="2"/>
  <c r="M210" i="2" s="1"/>
  <c r="O198" i="2"/>
  <c r="O199" i="2" s="1"/>
  <c r="M198" i="2"/>
  <c r="O197" i="2"/>
  <c r="M197" i="2"/>
  <c r="M186" i="2"/>
  <c r="M185" i="2"/>
  <c r="O184" i="2"/>
  <c r="O182" i="2" s="1"/>
  <c r="O175" i="2"/>
  <c r="O173" i="2" s="1"/>
  <c r="O179" i="2" s="1"/>
  <c r="O180" i="2" s="1"/>
  <c r="M175" i="2"/>
  <c r="M173" i="2"/>
  <c r="M178" i="2" s="1"/>
  <c r="M168" i="2"/>
  <c r="M170" i="2" s="1"/>
  <c r="O166" i="2"/>
  <c r="O171" i="2" s="1"/>
  <c r="O172" i="2" s="1"/>
  <c r="O159" i="2"/>
  <c r="O158" i="2"/>
  <c r="M157" i="2"/>
  <c r="M159" i="2" s="1"/>
  <c r="M152" i="2"/>
  <c r="M151" i="2"/>
  <c r="O147" i="2"/>
  <c r="O151" i="2" s="1"/>
  <c r="O137" i="2"/>
  <c r="O144" i="2" s="1"/>
  <c r="O145" i="2" s="1"/>
  <c r="M137" i="2"/>
  <c r="M144" i="2" s="1"/>
  <c r="O123" i="2"/>
  <c r="O129" i="2" s="1"/>
  <c r="O130" i="2" s="1"/>
  <c r="M123" i="2"/>
  <c r="M125" i="2" s="1"/>
  <c r="M128" i="2" s="1"/>
  <c r="O121" i="2"/>
  <c r="O122" i="2" s="1"/>
  <c r="M121" i="2"/>
  <c r="O120" i="2"/>
  <c r="M120" i="2"/>
  <c r="O106" i="2"/>
  <c r="O108" i="2" s="1"/>
  <c r="M106" i="2"/>
  <c r="M108" i="2" s="1"/>
  <c r="O98" i="2"/>
  <c r="O103" i="2" s="1"/>
  <c r="M98" i="2"/>
  <c r="M103" i="2" s="1"/>
  <c r="O96" i="2"/>
  <c r="O97" i="2" s="1"/>
  <c r="O95" i="2"/>
  <c r="M93" i="2"/>
  <c r="M96" i="2" s="1"/>
  <c r="O84" i="2"/>
  <c r="O85" i="2" s="1"/>
  <c r="M84" i="2"/>
  <c r="O83" i="2"/>
  <c r="M83" i="2"/>
  <c r="M71" i="2"/>
  <c r="M70" i="2"/>
  <c r="O67" i="2"/>
  <c r="O71" i="2" s="1"/>
  <c r="O64" i="2"/>
  <c r="O65" i="2" s="1"/>
  <c r="M64" i="2"/>
  <c r="O63" i="2"/>
  <c r="M63" i="2"/>
  <c r="M52" i="2"/>
  <c r="M51" i="2"/>
  <c r="O47" i="2"/>
  <c r="O51" i="2" s="1"/>
  <c r="M40" i="2"/>
  <c r="M41" i="2" s="1"/>
  <c r="M39" i="2"/>
  <c r="O37" i="2"/>
  <c r="O40" i="2" s="1"/>
  <c r="O29" i="2"/>
  <c r="M29" i="2"/>
  <c r="M30" i="2" s="1"/>
  <c r="M31" i="2" s="1"/>
  <c r="O21" i="2"/>
  <c r="O22" i="2" s="1"/>
  <c r="M21" i="2"/>
  <c r="O20" i="2"/>
  <c r="M20" i="2"/>
  <c r="O4" i="2"/>
  <c r="O8" i="2" s="1"/>
  <c r="M3" i="2"/>
  <c r="R766" i="2"/>
  <c r="Q766" i="2"/>
  <c r="R765" i="2"/>
  <c r="Q765" i="2"/>
  <c r="R764" i="2"/>
  <c r="Q764" i="2"/>
  <c r="R760" i="2"/>
  <c r="Q760" i="2"/>
  <c r="R759" i="2"/>
  <c r="Q759" i="2"/>
  <c r="R758" i="2"/>
  <c r="Q758" i="2"/>
  <c r="R755" i="2"/>
  <c r="Q755" i="2"/>
  <c r="R754" i="2"/>
  <c r="Q754" i="2"/>
  <c r="R753" i="2"/>
  <c r="Q753" i="2"/>
  <c r="R749" i="2"/>
  <c r="Q749" i="2"/>
  <c r="R748" i="2"/>
  <c r="Q748" i="2"/>
  <c r="R747" i="2"/>
  <c r="Q747" i="2"/>
  <c r="R736" i="2"/>
  <c r="Q736" i="2"/>
  <c r="R732" i="2"/>
  <c r="Q732" i="2"/>
  <c r="Q731" i="2"/>
  <c r="R730" i="2"/>
  <c r="Q730" i="2"/>
  <c r="R729" i="2"/>
  <c r="Q729" i="2"/>
  <c r="R728" i="2"/>
  <c r="Q728" i="2"/>
  <c r="Q714" i="2"/>
  <c r="Q713" i="2"/>
  <c r="Q712" i="2"/>
  <c r="Q711" i="2"/>
  <c r="Q710" i="2"/>
  <c r="Q709" i="2"/>
  <c r="Q708" i="2"/>
  <c r="Q707" i="2"/>
  <c r="Q703" i="2"/>
  <c r="Q702" i="2"/>
  <c r="Q701" i="2"/>
  <c r="Q700" i="2"/>
  <c r="Q699" i="2"/>
  <c r="Q698" i="2"/>
  <c r="Q697" i="2"/>
  <c r="Q696" i="2"/>
  <c r="Q692" i="2"/>
  <c r="R684" i="2"/>
  <c r="Q684" i="2"/>
  <c r="R683" i="2"/>
  <c r="Q683" i="2"/>
  <c r="R682" i="2"/>
  <c r="Q682" i="2"/>
  <c r="R676" i="2"/>
  <c r="Q676" i="2"/>
  <c r="R675" i="2"/>
  <c r="Q675" i="2"/>
  <c r="R672" i="2"/>
  <c r="Q672" i="2"/>
  <c r="R671" i="2"/>
  <c r="Q671" i="2"/>
  <c r="R670" i="2"/>
  <c r="Q670" i="2"/>
  <c r="R669" i="2"/>
  <c r="Q669" i="2"/>
  <c r="R664" i="2"/>
  <c r="Q664" i="2"/>
  <c r="R660" i="2"/>
  <c r="Q660" i="2"/>
  <c r="R659" i="2"/>
  <c r="Q659" i="2"/>
  <c r="R658" i="2"/>
  <c r="Q658" i="2"/>
  <c r="R657" i="2"/>
  <c r="Q657" i="2"/>
  <c r="R656" i="2"/>
  <c r="Q656" i="2"/>
  <c r="R642" i="2"/>
  <c r="Q642" i="2"/>
  <c r="R638" i="2"/>
  <c r="Q638" i="2"/>
  <c r="R635" i="2"/>
  <c r="Q635" i="2"/>
  <c r="R631" i="2"/>
  <c r="Q631" i="2"/>
  <c r="R630" i="2"/>
  <c r="Q630" i="2"/>
  <c r="R629" i="2"/>
  <c r="Q629" i="2"/>
  <c r="R628" i="2"/>
  <c r="Q628" i="2"/>
  <c r="R627" i="2"/>
  <c r="Q627" i="2"/>
  <c r="R603" i="2"/>
  <c r="Q603" i="2"/>
  <c r="R602" i="2"/>
  <c r="Q602" i="2"/>
  <c r="R601" i="2"/>
  <c r="Q601" i="2"/>
  <c r="R600" i="2"/>
  <c r="Q600" i="2"/>
  <c r="R599" i="2"/>
  <c r="Q599" i="2"/>
  <c r="R598" i="2"/>
  <c r="Q598" i="2"/>
  <c r="R592" i="2"/>
  <c r="Q592" i="2"/>
  <c r="Q587" i="2"/>
  <c r="Q586" i="2"/>
  <c r="Q585" i="2"/>
  <c r="Q581" i="2"/>
  <c r="Q579" i="2"/>
  <c r="R576" i="2"/>
  <c r="Q576" i="2"/>
  <c r="R575" i="2"/>
  <c r="Q575" i="2"/>
  <c r="Q574" i="2"/>
  <c r="R570" i="2"/>
  <c r="Q570" i="2"/>
  <c r="R569" i="2"/>
  <c r="Q569" i="2"/>
  <c r="R568" i="2"/>
  <c r="Q568" i="2"/>
  <c r="R567" i="2"/>
  <c r="Q567" i="2"/>
  <c r="R553" i="2"/>
  <c r="Q553" i="2"/>
  <c r="R552" i="2"/>
  <c r="Q552" i="2"/>
  <c r="R550" i="2"/>
  <c r="Q550" i="2"/>
  <c r="R549" i="2"/>
  <c r="Q549" i="2"/>
  <c r="R548" i="2"/>
  <c r="Q548" i="2"/>
  <c r="R547" i="2"/>
  <c r="Q547" i="2"/>
  <c r="R546" i="2"/>
  <c r="Q546" i="2"/>
  <c r="Q542" i="2"/>
  <c r="Q541" i="2"/>
  <c r="Q540" i="2"/>
  <c r="Q539" i="2"/>
  <c r="R531" i="2"/>
  <c r="Q531" i="2"/>
  <c r="R530" i="2"/>
  <c r="Q530" i="2"/>
  <c r="R529" i="2"/>
  <c r="Q529" i="2"/>
  <c r="R528" i="2"/>
  <c r="Q528" i="2"/>
  <c r="R524" i="2"/>
  <c r="Q524" i="2"/>
  <c r="R523" i="2"/>
  <c r="Q523" i="2"/>
  <c r="R509" i="2"/>
  <c r="Q509" i="2"/>
  <c r="R508" i="2"/>
  <c r="Q508" i="2"/>
  <c r="R507" i="2"/>
  <c r="Q507" i="2"/>
  <c r="R506" i="2"/>
  <c r="Q506" i="2"/>
  <c r="R500" i="2"/>
  <c r="Q500" i="2"/>
  <c r="R499" i="2"/>
  <c r="Q499" i="2"/>
  <c r="R498" i="2"/>
  <c r="Q498" i="2"/>
  <c r="R497" i="2"/>
  <c r="Q497" i="2"/>
  <c r="R489" i="2"/>
  <c r="Q489" i="2"/>
  <c r="R485" i="2"/>
  <c r="Q485" i="2"/>
  <c r="R484" i="2"/>
  <c r="Q484" i="2"/>
  <c r="Q481" i="2"/>
  <c r="R480" i="2"/>
  <c r="Q480" i="2"/>
  <c r="R479" i="2"/>
  <c r="Q479" i="2"/>
  <c r="R478" i="2"/>
  <c r="Q478" i="2"/>
  <c r="R469" i="2"/>
  <c r="Q469" i="2"/>
  <c r="R468" i="2"/>
  <c r="Q468" i="2"/>
  <c r="R463" i="2"/>
  <c r="Q463" i="2"/>
  <c r="R462" i="2"/>
  <c r="Q462" i="2"/>
  <c r="R456" i="2"/>
  <c r="Q456" i="2"/>
  <c r="R455" i="2"/>
  <c r="Q455" i="2"/>
  <c r="R454" i="2"/>
  <c r="Q454" i="2"/>
  <c r="R453" i="2"/>
  <c r="Q453" i="2"/>
  <c r="R444" i="2"/>
  <c r="Q444" i="2"/>
  <c r="R443" i="2"/>
  <c r="Q443" i="2"/>
  <c r="R442" i="2"/>
  <c r="Q442" i="2"/>
  <c r="R441" i="2"/>
  <c r="Q441" i="2"/>
  <c r="R410" i="2"/>
  <c r="Q410" i="2"/>
  <c r="Q411" i="2" s="1"/>
  <c r="R409" i="2"/>
  <c r="Q409" i="2"/>
  <c r="R398" i="2"/>
  <c r="Q398" i="2"/>
  <c r="R397" i="2"/>
  <c r="Q397" i="2"/>
  <c r="R387" i="2"/>
  <c r="Q387" i="2"/>
  <c r="R386" i="2"/>
  <c r="Q386" i="2"/>
  <c r="Q777" i="2" s="1"/>
  <c r="R381" i="2"/>
  <c r="Q381" i="2"/>
  <c r="R380" i="2"/>
  <c r="Q380" i="2"/>
  <c r="R369" i="2"/>
  <c r="R370" i="2" s="1"/>
  <c r="R763" i="2" s="1"/>
  <c r="Q369" i="2"/>
  <c r="R368" i="2"/>
  <c r="R761" i="2" s="1"/>
  <c r="Q368" i="2"/>
  <c r="Q761" i="2" s="1"/>
  <c r="R357" i="2"/>
  <c r="R751" i="2" s="1"/>
  <c r="Q357" i="2"/>
  <c r="Q751" i="2" s="1"/>
  <c r="R356" i="2"/>
  <c r="R750" i="2" s="1"/>
  <c r="Q356" i="2"/>
  <c r="Q750" i="2" s="1"/>
  <c r="Q350" i="2"/>
  <c r="Q349" i="2"/>
  <c r="R346" i="2"/>
  <c r="R347" i="2" s="1"/>
  <c r="Q338" i="2"/>
  <c r="Q337" i="2"/>
  <c r="Q733" i="2" s="1"/>
  <c r="R335" i="2"/>
  <c r="R337" i="2" s="1"/>
  <c r="R733" i="2" s="1"/>
  <c r="R329" i="2"/>
  <c r="Q329" i="2"/>
  <c r="R328" i="2"/>
  <c r="Q328" i="2"/>
  <c r="R319" i="2"/>
  <c r="Q319" i="2"/>
  <c r="R318" i="2"/>
  <c r="R713" i="2" s="1"/>
  <c r="Q318" i="2"/>
  <c r="R307" i="2"/>
  <c r="Q307" i="2"/>
  <c r="R306" i="2"/>
  <c r="R701" i="2" s="1"/>
  <c r="Q306" i="2"/>
  <c r="Q295" i="2"/>
  <c r="Q294" i="2"/>
  <c r="Q691" i="2" s="1"/>
  <c r="R290" i="2"/>
  <c r="R294" i="2" s="1"/>
  <c r="R692" i="2" s="1"/>
  <c r="R288" i="2"/>
  <c r="Q288" i="2"/>
  <c r="R287" i="2"/>
  <c r="Q287" i="2"/>
  <c r="R276" i="2"/>
  <c r="R678" i="2" s="1"/>
  <c r="Q276" i="2"/>
  <c r="R275" i="2"/>
  <c r="Q275" i="2"/>
  <c r="Q677" i="2" s="1"/>
  <c r="R264" i="2"/>
  <c r="Q264" i="2"/>
  <c r="Q667" i="2" s="1"/>
  <c r="R263" i="2"/>
  <c r="Q263" i="2"/>
  <c r="R258" i="2"/>
  <c r="R662" i="2" s="1"/>
  <c r="Q258" i="2"/>
  <c r="Q259" i="2" s="1"/>
  <c r="Q663" i="2" s="1"/>
  <c r="R257" i="2"/>
  <c r="R661" i="2" s="1"/>
  <c r="Q257" i="2"/>
  <c r="Q661" i="2" s="1"/>
  <c r="R249" i="2"/>
  <c r="Q249" i="2"/>
  <c r="R248" i="2"/>
  <c r="Q248" i="2"/>
  <c r="Q243" i="2"/>
  <c r="Q244" i="2" s="1"/>
  <c r="Q242" i="2"/>
  <c r="R241" i="2"/>
  <c r="R243" i="2" s="1"/>
  <c r="R244" i="2" s="1"/>
  <c r="R234" i="2"/>
  <c r="R640" i="2" s="1"/>
  <c r="Q234" i="2"/>
  <c r="Q640" i="2" s="1"/>
  <c r="R233" i="2"/>
  <c r="R639" i="2" s="1"/>
  <c r="Q233" i="2"/>
  <c r="Q639" i="2" s="1"/>
  <c r="R226" i="2"/>
  <c r="R633" i="2" s="1"/>
  <c r="Q226" i="2"/>
  <c r="Q633" i="2" s="1"/>
  <c r="R225" i="2"/>
  <c r="R632" i="2" s="1"/>
  <c r="Q225" i="2"/>
  <c r="Q632" i="2" s="1"/>
  <c r="R217" i="2"/>
  <c r="Q217" i="2"/>
  <c r="R216" i="2"/>
  <c r="Q216" i="2"/>
  <c r="Q208" i="2"/>
  <c r="Q209" i="2" s="1"/>
  <c r="R202" i="2"/>
  <c r="R208" i="2" s="1"/>
  <c r="R209" i="2" s="1"/>
  <c r="Q198" i="2"/>
  <c r="Q199" i="2" s="1"/>
  <c r="Q197" i="2"/>
  <c r="R196" i="2"/>
  <c r="R197" i="2" s="1"/>
  <c r="R186" i="2"/>
  <c r="R596" i="2" s="1"/>
  <c r="Q186" i="2"/>
  <c r="R185" i="2"/>
  <c r="R595" i="2" s="1"/>
  <c r="Q185" i="2"/>
  <c r="Q595" i="2" s="1"/>
  <c r="Q179" i="2"/>
  <c r="Q590" i="2" s="1"/>
  <c r="Q178" i="2"/>
  <c r="R177" i="2"/>
  <c r="R176" i="2"/>
  <c r="R174" i="2" s="1"/>
  <c r="R179" i="2" s="1"/>
  <c r="Q168" i="2"/>
  <c r="Q170" i="2" s="1"/>
  <c r="Q582" i="2" s="1"/>
  <c r="R161" i="2"/>
  <c r="R159" i="2"/>
  <c r="R572" i="2" s="1"/>
  <c r="Q159" i="2"/>
  <c r="R158" i="2"/>
  <c r="R571" i="2" s="1"/>
  <c r="Q158" i="2"/>
  <c r="Q571" i="2" s="1"/>
  <c r="R152" i="2"/>
  <c r="R153" i="2" s="1"/>
  <c r="Q152" i="2"/>
  <c r="Q153" i="2" s="1"/>
  <c r="R151" i="2"/>
  <c r="R561" i="2" s="1"/>
  <c r="Q151" i="2"/>
  <c r="R136" i="2"/>
  <c r="R551" i="2" s="1"/>
  <c r="Q136" i="2"/>
  <c r="Q144" i="2" s="1"/>
  <c r="Q145" i="2" s="1"/>
  <c r="Q129" i="2"/>
  <c r="Q130" i="2" s="1"/>
  <c r="Q545" i="2" s="1"/>
  <c r="Q128" i="2"/>
  <c r="Q535" i="2" s="1"/>
  <c r="R123" i="2"/>
  <c r="R129" i="2" s="1"/>
  <c r="R130" i="2" s="1"/>
  <c r="R545" i="2" s="1"/>
  <c r="R121" i="2"/>
  <c r="R122" i="2" s="1"/>
  <c r="Q121" i="2"/>
  <c r="R120" i="2"/>
  <c r="Q120" i="2"/>
  <c r="R109" i="2"/>
  <c r="Q109" i="2"/>
  <c r="Q526" i="2" s="1"/>
  <c r="R108" i="2"/>
  <c r="R525" i="2" s="1"/>
  <c r="Q108" i="2"/>
  <c r="Q525" i="2" s="1"/>
  <c r="Q103" i="2"/>
  <c r="Q102" i="2"/>
  <c r="R99" i="2"/>
  <c r="R103" i="2" s="1"/>
  <c r="Q96" i="2"/>
  <c r="Q97" i="2" s="1"/>
  <c r="Q95" i="2"/>
  <c r="R92" i="2"/>
  <c r="R96" i="2" s="1"/>
  <c r="R97" i="2" s="1"/>
  <c r="R84" i="2"/>
  <c r="R504" i="2" s="1"/>
  <c r="Q84" i="2"/>
  <c r="Q504" i="2" s="1"/>
  <c r="R83" i="2"/>
  <c r="R503" i="2" s="1"/>
  <c r="Q83" i="2"/>
  <c r="Q503" i="2" s="1"/>
  <c r="R71" i="2"/>
  <c r="R493" i="2" s="1"/>
  <c r="Q71" i="2"/>
  <c r="Q493" i="2" s="1"/>
  <c r="R70" i="2"/>
  <c r="R492" i="2" s="1"/>
  <c r="Q70" i="2"/>
  <c r="Q492" i="2" s="1"/>
  <c r="Q64" i="2"/>
  <c r="Q487" i="2" s="1"/>
  <c r="Q63" i="2"/>
  <c r="Q486" i="2" s="1"/>
  <c r="R57" i="2"/>
  <c r="R481" i="2" s="1"/>
  <c r="R52" i="2"/>
  <c r="R53" i="2" s="1"/>
  <c r="Q52" i="2"/>
  <c r="Q53" i="2" s="1"/>
  <c r="R51" i="2"/>
  <c r="Q51" i="2"/>
  <c r="R40" i="2"/>
  <c r="R466" i="2" s="1"/>
  <c r="Q40" i="2"/>
  <c r="R39" i="2"/>
  <c r="Q39" i="2"/>
  <c r="Q33" i="2"/>
  <c r="Q460" i="2" s="1"/>
  <c r="Q32" i="2"/>
  <c r="Q459" i="2" s="1"/>
  <c r="R31" i="2"/>
  <c r="R32" i="2" s="1"/>
  <c r="R459" i="2" s="1"/>
  <c r="R21" i="2"/>
  <c r="R22" i="2" s="1"/>
  <c r="Q21" i="2"/>
  <c r="Q22" i="2" s="1"/>
  <c r="R20" i="2"/>
  <c r="Q20" i="2"/>
  <c r="R9" i="2"/>
  <c r="R10" i="2" s="1"/>
  <c r="Q9" i="2"/>
  <c r="Q10" i="2" s="1"/>
  <c r="R8" i="2"/>
  <c r="Q8" i="2"/>
  <c r="N410" i="2"/>
  <c r="N409" i="2"/>
  <c r="P408" i="2"/>
  <c r="P407" i="2"/>
  <c r="P406" i="2"/>
  <c r="P405" i="2"/>
  <c r="P404" i="2"/>
  <c r="P403" i="2"/>
  <c r="P402" i="2"/>
  <c r="P401" i="2"/>
  <c r="P400" i="2"/>
  <c r="N398" i="2"/>
  <c r="N397" i="2"/>
  <c r="P396" i="2"/>
  <c r="P395" i="2"/>
  <c r="P394" i="2"/>
  <c r="P393" i="2"/>
  <c r="P392" i="2"/>
  <c r="P391" i="2"/>
  <c r="P390" i="2"/>
  <c r="P389" i="2"/>
  <c r="N387" i="2"/>
  <c r="N386" i="2"/>
  <c r="P385" i="2"/>
  <c r="P384" i="2"/>
  <c r="P383" i="2"/>
  <c r="P379" i="2"/>
  <c r="N378" i="2"/>
  <c r="P378" i="2" s="1"/>
  <c r="N377" i="2"/>
  <c r="P376" i="2"/>
  <c r="P375" i="2"/>
  <c r="P374" i="2"/>
  <c r="P373" i="2"/>
  <c r="P372" i="2"/>
  <c r="P371" i="2"/>
  <c r="N369" i="2"/>
  <c r="N368" i="2"/>
  <c r="P367" i="2"/>
  <c r="P366" i="2"/>
  <c r="P365" i="2"/>
  <c r="P364" i="2"/>
  <c r="P363" i="2"/>
  <c r="P362" i="2"/>
  <c r="P361" i="2"/>
  <c r="P360" i="2"/>
  <c r="P359" i="2"/>
  <c r="N357" i="2"/>
  <c r="N356" i="2"/>
  <c r="P355" i="2"/>
  <c r="P354" i="2"/>
  <c r="P353" i="2"/>
  <c r="P352" i="2"/>
  <c r="N346" i="2"/>
  <c r="N347" i="2" s="1"/>
  <c r="P347" i="2" s="1"/>
  <c r="P345" i="2"/>
  <c r="P344" i="2"/>
  <c r="P342" i="2"/>
  <c r="P340" i="2"/>
  <c r="P336" i="2"/>
  <c r="N335" i="2"/>
  <c r="N337" i="2" s="1"/>
  <c r="P334" i="2"/>
  <c r="P333" i="2"/>
  <c r="P332" i="2"/>
  <c r="P331" i="2"/>
  <c r="N329" i="2"/>
  <c r="N330" i="2" s="1"/>
  <c r="N328" i="2"/>
  <c r="P327" i="2"/>
  <c r="P326" i="2"/>
  <c r="P325" i="2"/>
  <c r="P324" i="2"/>
  <c r="P323" i="2"/>
  <c r="P322" i="2"/>
  <c r="P321" i="2"/>
  <c r="N319" i="2"/>
  <c r="N318" i="2"/>
  <c r="P317" i="2"/>
  <c r="P316" i="2"/>
  <c r="P315" i="2"/>
  <c r="P314" i="2"/>
  <c r="P313" i="2"/>
  <c r="P312" i="2"/>
  <c r="P311" i="2"/>
  <c r="P310" i="2"/>
  <c r="P309" i="2"/>
  <c r="N307" i="2"/>
  <c r="N306" i="2"/>
  <c r="P305" i="2"/>
  <c r="P304" i="2"/>
  <c r="P303" i="2"/>
  <c r="P302" i="2"/>
  <c r="P301" i="2"/>
  <c r="P300" i="2"/>
  <c r="P299" i="2"/>
  <c r="P298" i="2"/>
  <c r="P297" i="2"/>
  <c r="N293" i="2"/>
  <c r="P293" i="2" s="1"/>
  <c r="P292" i="2"/>
  <c r="P291" i="2"/>
  <c r="P290" i="2"/>
  <c r="N288" i="2"/>
  <c r="N287" i="2"/>
  <c r="P286" i="2"/>
  <c r="P285" i="2"/>
  <c r="P284" i="2"/>
  <c r="P283" i="2"/>
  <c r="P282" i="2"/>
  <c r="P281" i="2"/>
  <c r="P280" i="2"/>
  <c r="P279" i="2"/>
  <c r="P278" i="2"/>
  <c r="N276" i="2"/>
  <c r="N275" i="2"/>
  <c r="P274" i="2"/>
  <c r="P273" i="2"/>
  <c r="P272" i="2"/>
  <c r="P271" i="2"/>
  <c r="P270" i="2"/>
  <c r="P269" i="2"/>
  <c r="P268" i="2"/>
  <c r="P267" i="2"/>
  <c r="P266" i="2"/>
  <c r="N264" i="2"/>
  <c r="N263" i="2"/>
  <c r="P262" i="2"/>
  <c r="P261" i="2"/>
  <c r="P260" i="2"/>
  <c r="N258" i="2"/>
  <c r="N259" i="2" s="1"/>
  <c r="N257" i="2"/>
  <c r="P256" i="2"/>
  <c r="P255" i="2"/>
  <c r="P254" i="2"/>
  <c r="P253" i="2"/>
  <c r="P252" i="2"/>
  <c r="P251" i="2"/>
  <c r="N249" i="2"/>
  <c r="N248" i="2"/>
  <c r="P247" i="2"/>
  <c r="P246" i="2"/>
  <c r="P245" i="2"/>
  <c r="N243" i="2"/>
  <c r="N244" i="2" s="1"/>
  <c r="N242" i="2"/>
  <c r="P241" i="2"/>
  <c r="P240" i="2"/>
  <c r="P239" i="2"/>
  <c r="P238" i="2"/>
  <c r="P237" i="2"/>
  <c r="P236" i="2"/>
  <c r="P232" i="2"/>
  <c r="N231" i="2"/>
  <c r="N234" i="2" s="1"/>
  <c r="N235" i="2" s="1"/>
  <c r="P230" i="2"/>
  <c r="P229" i="2"/>
  <c r="P228" i="2"/>
  <c r="N226" i="2"/>
  <c r="N227" i="2" s="1"/>
  <c r="N225" i="2"/>
  <c r="P224" i="2"/>
  <c r="P223" i="2"/>
  <c r="P222" i="2"/>
  <c r="P221" i="2"/>
  <c r="P220" i="2"/>
  <c r="P219" i="2"/>
  <c r="N217" i="2"/>
  <c r="N216" i="2"/>
  <c r="P215" i="2"/>
  <c r="P214" i="2"/>
  <c r="P213" i="2"/>
  <c r="P212" i="2"/>
  <c r="N208" i="2"/>
  <c r="N210" i="2" s="1"/>
  <c r="N211" i="2" s="1"/>
  <c r="P207" i="2"/>
  <c r="P206" i="2"/>
  <c r="P204" i="2"/>
  <c r="P203" i="2"/>
  <c r="P202" i="2"/>
  <c r="P201" i="2"/>
  <c r="P200" i="2"/>
  <c r="N198" i="2"/>
  <c r="N199" i="2" s="1"/>
  <c r="N197" i="2"/>
  <c r="P196" i="2"/>
  <c r="P195" i="2"/>
  <c r="P194" i="2"/>
  <c r="P193" i="2"/>
  <c r="P192" i="2"/>
  <c r="P191" i="2"/>
  <c r="P190" i="2"/>
  <c r="P189" i="2"/>
  <c r="P188" i="2"/>
  <c r="N186" i="2"/>
  <c r="N185" i="2"/>
  <c r="P184" i="2"/>
  <c r="P183" i="2"/>
  <c r="P182" i="2"/>
  <c r="P181" i="2"/>
  <c r="N177" i="2"/>
  <c r="P177" i="2" s="1"/>
  <c r="N176" i="2"/>
  <c r="P176" i="2" s="1"/>
  <c r="N175" i="2"/>
  <c r="P175" i="2" s="1"/>
  <c r="N174" i="2"/>
  <c r="P174" i="2" s="1"/>
  <c r="N173" i="2"/>
  <c r="P169" i="2"/>
  <c r="N168" i="2"/>
  <c r="N171" i="2" s="1"/>
  <c r="N172" i="2" s="1"/>
  <c r="P166" i="2"/>
  <c r="P165" i="2"/>
  <c r="P164" i="2"/>
  <c r="P163" i="2"/>
  <c r="P162" i="2"/>
  <c r="P161" i="2"/>
  <c r="N159" i="2"/>
  <c r="N158" i="2"/>
  <c r="P157" i="2"/>
  <c r="P156" i="2"/>
  <c r="P155" i="2"/>
  <c r="P154" i="2"/>
  <c r="P150" i="2"/>
  <c r="P149" i="2"/>
  <c r="N148" i="2"/>
  <c r="N152" i="2" s="1"/>
  <c r="N153" i="2" s="1"/>
  <c r="P147" i="2"/>
  <c r="P146" i="2"/>
  <c r="N144" i="2"/>
  <c r="N145" i="2" s="1"/>
  <c r="N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N129" i="2"/>
  <c r="N130" i="2" s="1"/>
  <c r="N128" i="2"/>
  <c r="P127" i="2"/>
  <c r="P126" i="2"/>
  <c r="P125" i="2"/>
  <c r="P124" i="2"/>
  <c r="N121" i="2"/>
  <c r="N122" i="2" s="1"/>
  <c r="N120" i="2"/>
  <c r="P119" i="2"/>
  <c r="P118" i="2"/>
  <c r="P117" i="2"/>
  <c r="P116" i="2"/>
  <c r="P115" i="2"/>
  <c r="P114" i="2"/>
  <c r="P113" i="2"/>
  <c r="P112" i="2"/>
  <c r="P111" i="2"/>
  <c r="N109" i="2"/>
  <c r="N108" i="2"/>
  <c r="P107" i="2"/>
  <c r="P106" i="2"/>
  <c r="P105" i="2"/>
  <c r="N103" i="2"/>
  <c r="N102" i="2"/>
  <c r="P101" i="2"/>
  <c r="P100" i="2"/>
  <c r="P99" i="2"/>
  <c r="P98" i="2"/>
  <c r="N96" i="2"/>
  <c r="N97" i="2" s="1"/>
  <c r="N95" i="2"/>
  <c r="P94" i="2"/>
  <c r="P93" i="2"/>
  <c r="P92" i="2"/>
  <c r="P91" i="2"/>
  <c r="P90" i="2"/>
  <c r="P89" i="2"/>
  <c r="P88" i="2"/>
  <c r="P87" i="2"/>
  <c r="P86" i="2"/>
  <c r="N84" i="2"/>
  <c r="N85" i="2" s="1"/>
  <c r="N83" i="2"/>
  <c r="P82" i="2"/>
  <c r="P81" i="2"/>
  <c r="P80" i="2"/>
  <c r="P79" i="2"/>
  <c r="P78" i="2"/>
  <c r="P77" i="2"/>
  <c r="P76" i="2"/>
  <c r="P75" i="2"/>
  <c r="P74" i="2"/>
  <c r="P73" i="2"/>
  <c r="N71" i="2"/>
  <c r="N70" i="2"/>
  <c r="P69" i="2"/>
  <c r="P68" i="2"/>
  <c r="P67" i="2"/>
  <c r="P66" i="2"/>
  <c r="N64" i="2"/>
  <c r="N65" i="2" s="1"/>
  <c r="N72" i="2" s="1"/>
  <c r="N63" i="2"/>
  <c r="P62" i="2"/>
  <c r="P61" i="2"/>
  <c r="P60" i="2"/>
  <c r="P59" i="2"/>
  <c r="P58" i="2"/>
  <c r="P57" i="2"/>
  <c r="P56" i="2"/>
  <c r="P55" i="2"/>
  <c r="P54" i="2"/>
  <c r="N52" i="2"/>
  <c r="N53" i="2" s="1"/>
  <c r="N51" i="2"/>
  <c r="P50" i="2"/>
  <c r="P49" i="2"/>
  <c r="P48" i="2"/>
  <c r="P47" i="2"/>
  <c r="P46" i="2"/>
  <c r="P45" i="2"/>
  <c r="P44" i="2"/>
  <c r="P43" i="2"/>
  <c r="P42" i="2"/>
  <c r="N40" i="2"/>
  <c r="N39" i="2"/>
  <c r="P38" i="2"/>
  <c r="P37" i="2"/>
  <c r="P36" i="2"/>
  <c r="P35" i="2"/>
  <c r="N33" i="2"/>
  <c r="N34" i="2" s="1"/>
  <c r="N32" i="2"/>
  <c r="P31" i="2"/>
  <c r="P30" i="2"/>
  <c r="P29" i="2"/>
  <c r="P28" i="2"/>
  <c r="P27" i="2"/>
  <c r="P26" i="2"/>
  <c r="P25" i="2"/>
  <c r="P24" i="2"/>
  <c r="P23" i="2"/>
  <c r="N21" i="2"/>
  <c r="N22" i="2" s="1"/>
  <c r="N20" i="2"/>
  <c r="P19" i="2"/>
  <c r="P18" i="2"/>
  <c r="P17" i="2"/>
  <c r="P16" i="2"/>
  <c r="P15" i="2"/>
  <c r="P14" i="2"/>
  <c r="P13" i="2"/>
  <c r="P12" i="2"/>
  <c r="P11" i="2"/>
  <c r="N9" i="2"/>
  <c r="N10" i="2" s="1"/>
  <c r="N8" i="2"/>
  <c r="P7" i="2"/>
  <c r="P6" i="2"/>
  <c r="P5" i="2"/>
  <c r="P4" i="2"/>
  <c r="X185" i="1"/>
  <c r="X189" i="1" s="1"/>
  <c r="X190" i="1" s="1"/>
  <c r="X324" i="1"/>
  <c r="X334" i="1"/>
  <c r="X333" i="1"/>
  <c r="X356" i="1"/>
  <c r="X355" i="1"/>
  <c r="X364" i="1"/>
  <c r="X365" i="1"/>
  <c r="X429" i="1"/>
  <c r="X430" i="1" s="1"/>
  <c r="X428" i="1"/>
  <c r="X417" i="1"/>
  <c r="X418" i="1" s="1"/>
  <c r="X416" i="1"/>
  <c r="X406" i="1"/>
  <c r="X403" i="1"/>
  <c r="X405" i="1" s="1"/>
  <c r="X400" i="1"/>
  <c r="X401" i="1" s="1"/>
  <c r="X399" i="1"/>
  <c r="X389" i="1"/>
  <c r="X390" i="1" s="1"/>
  <c r="X388" i="1"/>
  <c r="X377" i="1"/>
  <c r="X376" i="1"/>
  <c r="X370" i="1"/>
  <c r="X371" i="1" s="1"/>
  <c r="X369" i="1"/>
  <c r="X347" i="1"/>
  <c r="X348" i="1" s="1"/>
  <c r="X346" i="1"/>
  <c r="X325" i="1"/>
  <c r="X326" i="1" s="1"/>
  <c r="X313" i="1"/>
  <c r="X312" i="1"/>
  <c r="X306" i="1"/>
  <c r="X307" i="1" s="1"/>
  <c r="X305" i="1"/>
  <c r="X294" i="1"/>
  <c r="X295" i="1" s="1"/>
  <c r="X293" i="1"/>
  <c r="X282" i="1"/>
  <c r="X281" i="1"/>
  <c r="X276" i="1"/>
  <c r="X277" i="1" s="1"/>
  <c r="X275" i="1"/>
  <c r="X267" i="1"/>
  <c r="X268" i="1" s="1"/>
  <c r="X266" i="1"/>
  <c r="X255" i="1"/>
  <c r="X256" i="1" s="1"/>
  <c r="X254" i="1"/>
  <c r="X246" i="1"/>
  <c r="X247" i="1" s="1"/>
  <c r="X245" i="1"/>
  <c r="X237" i="1"/>
  <c r="X238" i="1" s="1"/>
  <c r="X236" i="1"/>
  <c r="X227" i="1"/>
  <c r="X226" i="1"/>
  <c r="X220" i="1"/>
  <c r="X221" i="1" s="1"/>
  <c r="X219" i="1"/>
  <c r="X208" i="1"/>
  <c r="X209" i="1" s="1"/>
  <c r="X207" i="1"/>
  <c r="X196" i="1"/>
  <c r="X195" i="1"/>
  <c r="X180" i="1"/>
  <c r="X181" i="1" s="1"/>
  <c r="X179" i="1"/>
  <c r="X168" i="1"/>
  <c r="X167" i="1"/>
  <c r="X161" i="1"/>
  <c r="X162" i="1" s="1"/>
  <c r="X169" i="1" s="1"/>
  <c r="X160" i="1"/>
  <c r="X153" i="1"/>
  <c r="X154" i="1" s="1"/>
  <c r="X152" i="1"/>
  <c r="X138" i="1"/>
  <c r="X139" i="1" s="1"/>
  <c r="X137" i="1"/>
  <c r="X130" i="1"/>
  <c r="X131" i="1" s="1"/>
  <c r="X129" i="1"/>
  <c r="X118" i="1"/>
  <c r="X119" i="1" s="1"/>
  <c r="X117" i="1"/>
  <c r="X105" i="1"/>
  <c r="X104" i="1"/>
  <c r="X98" i="1"/>
  <c r="X99" i="1" s="1"/>
  <c r="X97" i="1"/>
  <c r="X86" i="1"/>
  <c r="X87" i="1" s="1"/>
  <c r="X85" i="1"/>
  <c r="X73" i="1"/>
  <c r="X72" i="1"/>
  <c r="X66" i="1"/>
  <c r="X67" i="1" s="1"/>
  <c r="X65" i="1"/>
  <c r="X54" i="1"/>
  <c r="X55" i="1" s="1"/>
  <c r="X53" i="1"/>
  <c r="X40" i="1"/>
  <c r="X39" i="1"/>
  <c r="X33" i="1"/>
  <c r="X34" i="1" s="1"/>
  <c r="X32" i="1"/>
  <c r="X21" i="1"/>
  <c r="X22" i="1" s="1"/>
  <c r="X20" i="1"/>
  <c r="X9" i="1"/>
  <c r="X10" i="1" s="1"/>
  <c r="X8" i="1"/>
  <c r="U429" i="1"/>
  <c r="U430" i="1" s="1"/>
  <c r="T429" i="1"/>
  <c r="T430" i="1" s="1"/>
  <c r="S429" i="1"/>
  <c r="S430" i="1" s="1"/>
  <c r="R429" i="1"/>
  <c r="R430" i="1" s="1"/>
  <c r="U428" i="1"/>
  <c r="T428" i="1"/>
  <c r="S428" i="1"/>
  <c r="R428" i="1"/>
  <c r="P424" i="1"/>
  <c r="P429" i="1" s="1"/>
  <c r="P421" i="1"/>
  <c r="U417" i="1"/>
  <c r="U418" i="1" s="1"/>
  <c r="T417" i="1"/>
  <c r="T418" i="1" s="1"/>
  <c r="S417" i="1"/>
  <c r="S418" i="1" s="1"/>
  <c r="R417" i="1"/>
  <c r="R418" i="1" s="1"/>
  <c r="U416" i="1"/>
  <c r="T416" i="1"/>
  <c r="S416" i="1"/>
  <c r="R416" i="1"/>
  <c r="P413" i="1"/>
  <c r="P410" i="1" s="1"/>
  <c r="U406" i="1"/>
  <c r="T406" i="1"/>
  <c r="S406" i="1"/>
  <c r="U405" i="1"/>
  <c r="T405" i="1"/>
  <c r="S405" i="1"/>
  <c r="R402" i="1"/>
  <c r="R406" i="1" s="1"/>
  <c r="P402" i="1"/>
  <c r="P406" i="1" s="1"/>
  <c r="U400" i="1"/>
  <c r="U401" i="1" s="1"/>
  <c r="T400" i="1"/>
  <c r="T401" i="1" s="1"/>
  <c r="S400" i="1"/>
  <c r="S401" i="1" s="1"/>
  <c r="R400" i="1"/>
  <c r="R401" i="1" s="1"/>
  <c r="U399" i="1"/>
  <c r="T399" i="1"/>
  <c r="S399" i="1"/>
  <c r="R399" i="1"/>
  <c r="P396" i="1"/>
  <c r="P393" i="1" s="1"/>
  <c r="U389" i="1"/>
  <c r="U390" i="1" s="1"/>
  <c r="T389" i="1"/>
  <c r="T390" i="1" s="1"/>
  <c r="S389" i="1"/>
  <c r="S390" i="1" s="1"/>
  <c r="R389" i="1"/>
  <c r="R390" i="1" s="1"/>
  <c r="U388" i="1"/>
  <c r="T388" i="1"/>
  <c r="S388" i="1"/>
  <c r="R388" i="1"/>
  <c r="P382" i="1"/>
  <c r="P385" i="1" s="1"/>
  <c r="P388" i="1" s="1"/>
  <c r="U377" i="1"/>
  <c r="T377" i="1"/>
  <c r="S377" i="1"/>
  <c r="S378" i="1" s="1"/>
  <c r="R377" i="1"/>
  <c r="U376" i="1"/>
  <c r="T376" i="1"/>
  <c r="S376" i="1"/>
  <c r="R376" i="1"/>
  <c r="P375" i="1"/>
  <c r="P372" i="1" s="1"/>
  <c r="U370" i="1"/>
  <c r="U371" i="1" s="1"/>
  <c r="T370" i="1"/>
  <c r="T371" i="1" s="1"/>
  <c r="S370" i="1"/>
  <c r="S371" i="1" s="1"/>
  <c r="R370" i="1"/>
  <c r="R371" i="1" s="1"/>
  <c r="U369" i="1"/>
  <c r="T369" i="1"/>
  <c r="S369" i="1"/>
  <c r="R369" i="1"/>
  <c r="P367" i="1"/>
  <c r="P369" i="1" s="1"/>
  <c r="U359" i="1"/>
  <c r="U360" i="1" s="1"/>
  <c r="T359" i="1"/>
  <c r="T360" i="1" s="1"/>
  <c r="S359" i="1"/>
  <c r="S360" i="1" s="1"/>
  <c r="R359" i="1"/>
  <c r="R360" i="1" s="1"/>
  <c r="U358" i="1"/>
  <c r="T358" i="1"/>
  <c r="S358" i="1"/>
  <c r="R358" i="1"/>
  <c r="P352" i="1"/>
  <c r="U347" i="1"/>
  <c r="U348" i="1" s="1"/>
  <c r="T347" i="1"/>
  <c r="T348" i="1" s="1"/>
  <c r="S347" i="1"/>
  <c r="S348" i="1" s="1"/>
  <c r="U346" i="1"/>
  <c r="T346" i="1"/>
  <c r="S346" i="1"/>
  <c r="P340" i="1"/>
  <c r="P347" i="1" s="1"/>
  <c r="R339" i="1"/>
  <c r="R346" i="1" s="1"/>
  <c r="U337" i="1"/>
  <c r="U338" i="1" s="1"/>
  <c r="T337" i="1"/>
  <c r="T338" i="1" s="1"/>
  <c r="S337" i="1"/>
  <c r="S338" i="1" s="1"/>
  <c r="R337" i="1"/>
  <c r="R338" i="1" s="1"/>
  <c r="U336" i="1"/>
  <c r="T336" i="1"/>
  <c r="S336" i="1"/>
  <c r="R336" i="1"/>
  <c r="P332" i="1"/>
  <c r="P337" i="1" s="1"/>
  <c r="U325" i="1"/>
  <c r="U326" i="1" s="1"/>
  <c r="T325" i="1"/>
  <c r="T326" i="1" s="1"/>
  <c r="S325" i="1"/>
  <c r="S326" i="1" s="1"/>
  <c r="R325" i="1"/>
  <c r="R326" i="1" s="1"/>
  <c r="U324" i="1"/>
  <c r="T324" i="1"/>
  <c r="S324" i="1"/>
  <c r="R324" i="1"/>
  <c r="P318" i="1"/>
  <c r="P321" i="1" s="1"/>
  <c r="P324" i="1" s="1"/>
  <c r="U313" i="1"/>
  <c r="T313" i="1"/>
  <c r="S313" i="1"/>
  <c r="R313" i="1"/>
  <c r="U312" i="1"/>
  <c r="T312" i="1"/>
  <c r="S312" i="1"/>
  <c r="R312" i="1"/>
  <c r="P308" i="1"/>
  <c r="P313" i="1" s="1"/>
  <c r="U306" i="1"/>
  <c r="U307" i="1" s="1"/>
  <c r="T306" i="1"/>
  <c r="T307" i="1" s="1"/>
  <c r="S306" i="1"/>
  <c r="S307" i="1" s="1"/>
  <c r="R306" i="1"/>
  <c r="R307" i="1" s="1"/>
  <c r="U305" i="1"/>
  <c r="T305" i="1"/>
  <c r="S305" i="1"/>
  <c r="R305" i="1"/>
  <c r="P296" i="1"/>
  <c r="P303" i="1" s="1"/>
  <c r="U294" i="1"/>
  <c r="U295" i="1" s="1"/>
  <c r="T294" i="1"/>
  <c r="T295" i="1" s="1"/>
  <c r="S294" i="1"/>
  <c r="S295" i="1" s="1"/>
  <c r="R294" i="1"/>
  <c r="R295" i="1" s="1"/>
  <c r="U293" i="1"/>
  <c r="T293" i="1"/>
  <c r="S293" i="1"/>
  <c r="R293" i="1"/>
  <c r="P286" i="1"/>
  <c r="P290" i="1" s="1"/>
  <c r="P293" i="1" s="1"/>
  <c r="U282" i="1"/>
  <c r="T282" i="1"/>
  <c r="S282" i="1"/>
  <c r="U281" i="1"/>
  <c r="T281" i="1"/>
  <c r="S281" i="1"/>
  <c r="R280" i="1"/>
  <c r="R282" i="1" s="1"/>
  <c r="P279" i="1"/>
  <c r="P282" i="1" s="1"/>
  <c r="U276" i="1"/>
  <c r="U277" i="1" s="1"/>
  <c r="T276" i="1"/>
  <c r="T277" i="1" s="1"/>
  <c r="S276" i="1"/>
  <c r="S277" i="1" s="1"/>
  <c r="S283" i="1" s="1"/>
  <c r="R276" i="1"/>
  <c r="R277" i="1" s="1"/>
  <c r="U275" i="1"/>
  <c r="T275" i="1"/>
  <c r="S275" i="1"/>
  <c r="R275" i="1"/>
  <c r="P270" i="1"/>
  <c r="P275" i="1" s="1"/>
  <c r="U267" i="1"/>
  <c r="U268" i="1" s="1"/>
  <c r="T267" i="1"/>
  <c r="T268" i="1" s="1"/>
  <c r="S267" i="1"/>
  <c r="S268" i="1" s="1"/>
  <c r="R267" i="1"/>
  <c r="R268" i="1" s="1"/>
  <c r="U266" i="1"/>
  <c r="T266" i="1"/>
  <c r="S266" i="1"/>
  <c r="R266" i="1"/>
  <c r="P265" i="1"/>
  <c r="P261" i="1"/>
  <c r="U255" i="1"/>
  <c r="U256" i="1" s="1"/>
  <c r="T255" i="1"/>
  <c r="T256" i="1" s="1"/>
  <c r="S255" i="1"/>
  <c r="S256" i="1" s="1"/>
  <c r="U254" i="1"/>
  <c r="T254" i="1"/>
  <c r="S254" i="1"/>
  <c r="P251" i="1"/>
  <c r="P248" i="1" s="1"/>
  <c r="P254" i="1" s="1"/>
  <c r="R248" i="1"/>
  <c r="R254" i="1" s="1"/>
  <c r="U246" i="1"/>
  <c r="U247" i="1" s="1"/>
  <c r="T246" i="1"/>
  <c r="T247" i="1" s="1"/>
  <c r="S246" i="1"/>
  <c r="S247" i="1" s="1"/>
  <c r="R246" i="1"/>
  <c r="R247" i="1" s="1"/>
  <c r="U245" i="1"/>
  <c r="T245" i="1"/>
  <c r="S245" i="1"/>
  <c r="R245" i="1"/>
  <c r="P244" i="1"/>
  <c r="P246" i="1" s="1"/>
  <c r="U237" i="1"/>
  <c r="U238" i="1" s="1"/>
  <c r="T237" i="1"/>
  <c r="T238" i="1" s="1"/>
  <c r="S237" i="1"/>
  <c r="S238" i="1" s="1"/>
  <c r="R237" i="1"/>
  <c r="R238" i="1" s="1"/>
  <c r="U236" i="1"/>
  <c r="T236" i="1"/>
  <c r="S236" i="1"/>
  <c r="R236" i="1"/>
  <c r="P230" i="1"/>
  <c r="U227" i="1"/>
  <c r="T227" i="1"/>
  <c r="S227" i="1"/>
  <c r="U226" i="1"/>
  <c r="T226" i="1"/>
  <c r="S226" i="1"/>
  <c r="P223" i="1"/>
  <c r="P227" i="1" s="1"/>
  <c r="R222" i="1"/>
  <c r="R227" i="1" s="1"/>
  <c r="U220" i="1"/>
  <c r="U221" i="1" s="1"/>
  <c r="T220" i="1"/>
  <c r="T221" i="1" s="1"/>
  <c r="S220" i="1"/>
  <c r="S221" i="1" s="1"/>
  <c r="R220" i="1"/>
  <c r="R221" i="1" s="1"/>
  <c r="U219" i="1"/>
  <c r="T219" i="1"/>
  <c r="S219" i="1"/>
  <c r="R219" i="1"/>
  <c r="P216" i="1"/>
  <c r="P211" i="1"/>
  <c r="U208" i="1"/>
  <c r="U209" i="1" s="1"/>
  <c r="T208" i="1"/>
  <c r="T209" i="1" s="1"/>
  <c r="S208" i="1"/>
  <c r="S209" i="1" s="1"/>
  <c r="R208" i="1"/>
  <c r="R209" i="1" s="1"/>
  <c r="U207" i="1"/>
  <c r="T207" i="1"/>
  <c r="S207" i="1"/>
  <c r="R207" i="1"/>
  <c r="P200" i="1"/>
  <c r="P206" i="1" s="1"/>
  <c r="P207" i="1" s="1"/>
  <c r="U196" i="1"/>
  <c r="T196" i="1"/>
  <c r="U195" i="1"/>
  <c r="T195" i="1"/>
  <c r="S194" i="1"/>
  <c r="S196" i="1" s="1"/>
  <c r="P193" i="1"/>
  <c r="P196" i="1" s="1"/>
  <c r="R192" i="1"/>
  <c r="R196" i="1" s="1"/>
  <c r="U189" i="1"/>
  <c r="U190" i="1" s="1"/>
  <c r="T189" i="1"/>
  <c r="T190" i="1" s="1"/>
  <c r="S189" i="1"/>
  <c r="S190" i="1" s="1"/>
  <c r="R189" i="1"/>
  <c r="R190" i="1" s="1"/>
  <c r="P189" i="1"/>
  <c r="U188" i="1"/>
  <c r="T188" i="1"/>
  <c r="S188" i="1"/>
  <c r="R188" i="1"/>
  <c r="P188" i="1"/>
  <c r="U180" i="1"/>
  <c r="U181" i="1" s="1"/>
  <c r="T180" i="1"/>
  <c r="T181" i="1" s="1"/>
  <c r="S180" i="1"/>
  <c r="S181" i="1" s="1"/>
  <c r="R180" i="1"/>
  <c r="R181" i="1" s="1"/>
  <c r="U179" i="1"/>
  <c r="T179" i="1"/>
  <c r="S179" i="1"/>
  <c r="R179" i="1"/>
  <c r="P172" i="1"/>
  <c r="P171" i="1" s="1"/>
  <c r="U168" i="1"/>
  <c r="T168" i="1"/>
  <c r="S168" i="1"/>
  <c r="R168" i="1"/>
  <c r="U167" i="1"/>
  <c r="T167" i="1"/>
  <c r="S167" i="1"/>
  <c r="R167" i="1"/>
  <c r="P166" i="1"/>
  <c r="P167" i="1" s="1"/>
  <c r="U161" i="1"/>
  <c r="U162" i="1" s="1"/>
  <c r="T161" i="1"/>
  <c r="T162" i="1" s="1"/>
  <c r="S161" i="1"/>
  <c r="S162" i="1" s="1"/>
  <c r="R161" i="1"/>
  <c r="R162" i="1" s="1"/>
  <c r="U160" i="1"/>
  <c r="T160" i="1"/>
  <c r="S160" i="1"/>
  <c r="R160" i="1"/>
  <c r="P156" i="1"/>
  <c r="P160" i="1" s="1"/>
  <c r="U153" i="1"/>
  <c r="U154" i="1" s="1"/>
  <c r="T153" i="1"/>
  <c r="T154" i="1" s="1"/>
  <c r="S153" i="1"/>
  <c r="S154" i="1" s="1"/>
  <c r="R153" i="1"/>
  <c r="R154" i="1" s="1"/>
  <c r="U152" i="1"/>
  <c r="T152" i="1"/>
  <c r="S152" i="1"/>
  <c r="R152" i="1"/>
  <c r="P141" i="1"/>
  <c r="U138" i="1"/>
  <c r="U139" i="1" s="1"/>
  <c r="T138" i="1"/>
  <c r="T139" i="1" s="1"/>
  <c r="R138" i="1"/>
  <c r="R139" i="1" s="1"/>
  <c r="U137" i="1"/>
  <c r="T137" i="1"/>
  <c r="R137" i="1"/>
  <c r="P134" i="1"/>
  <c r="P137" i="1" s="1"/>
  <c r="S133" i="1"/>
  <c r="S137" i="1" s="1"/>
  <c r="U130" i="1"/>
  <c r="U131" i="1" s="1"/>
  <c r="T130" i="1"/>
  <c r="T131" i="1" s="1"/>
  <c r="S130" i="1"/>
  <c r="S131" i="1" s="1"/>
  <c r="R130" i="1"/>
  <c r="R131" i="1" s="1"/>
  <c r="U129" i="1"/>
  <c r="T129" i="1"/>
  <c r="S129" i="1"/>
  <c r="R129" i="1"/>
  <c r="P121" i="1"/>
  <c r="P130" i="1" s="1"/>
  <c r="U118" i="1"/>
  <c r="U119" i="1" s="1"/>
  <c r="T118" i="1"/>
  <c r="T119" i="1" s="1"/>
  <c r="S118" i="1"/>
  <c r="S119" i="1" s="1"/>
  <c r="R118" i="1"/>
  <c r="R119" i="1" s="1"/>
  <c r="U117" i="1"/>
  <c r="T117" i="1"/>
  <c r="S117" i="1"/>
  <c r="R117" i="1"/>
  <c r="P112" i="1"/>
  <c r="P118" i="1" s="1"/>
  <c r="U105" i="1"/>
  <c r="T105" i="1"/>
  <c r="S105" i="1"/>
  <c r="R105" i="1"/>
  <c r="U104" i="1"/>
  <c r="T104" i="1"/>
  <c r="S104" i="1"/>
  <c r="R104" i="1"/>
  <c r="P100" i="1"/>
  <c r="P105" i="1" s="1"/>
  <c r="U98" i="1"/>
  <c r="U99" i="1" s="1"/>
  <c r="T98" i="1"/>
  <c r="T99" i="1" s="1"/>
  <c r="S98" i="1"/>
  <c r="S99" i="1" s="1"/>
  <c r="R98" i="1"/>
  <c r="R99" i="1" s="1"/>
  <c r="U97" i="1"/>
  <c r="T97" i="1"/>
  <c r="S97" i="1"/>
  <c r="R97" i="1"/>
  <c r="P96" i="1"/>
  <c r="P91" i="1"/>
  <c r="U86" i="1"/>
  <c r="U87" i="1" s="1"/>
  <c r="T86" i="1"/>
  <c r="T87" i="1" s="1"/>
  <c r="S86" i="1"/>
  <c r="S87" i="1" s="1"/>
  <c r="R86" i="1"/>
  <c r="R87" i="1" s="1"/>
  <c r="U85" i="1"/>
  <c r="T85" i="1"/>
  <c r="S85" i="1"/>
  <c r="R85" i="1"/>
  <c r="P79" i="1"/>
  <c r="P86" i="1" s="1"/>
  <c r="U73" i="1"/>
  <c r="T73" i="1"/>
  <c r="S73" i="1"/>
  <c r="R73" i="1"/>
  <c r="U72" i="1"/>
  <c r="T72" i="1"/>
  <c r="S72" i="1"/>
  <c r="R72" i="1"/>
  <c r="P71" i="1"/>
  <c r="P73" i="1" s="1"/>
  <c r="U66" i="1"/>
  <c r="U67" i="1" s="1"/>
  <c r="T66" i="1"/>
  <c r="T67" i="1" s="1"/>
  <c r="S66" i="1"/>
  <c r="S67" i="1" s="1"/>
  <c r="R66" i="1"/>
  <c r="R67" i="1" s="1"/>
  <c r="U65" i="1"/>
  <c r="T65" i="1"/>
  <c r="S65" i="1"/>
  <c r="R65" i="1"/>
  <c r="P61" i="1"/>
  <c r="P57" i="1"/>
  <c r="U54" i="1"/>
  <c r="U55" i="1" s="1"/>
  <c r="T54" i="1"/>
  <c r="T55" i="1" s="1"/>
  <c r="S54" i="1"/>
  <c r="S55" i="1" s="1"/>
  <c r="R54" i="1"/>
  <c r="R55" i="1" s="1"/>
  <c r="U53" i="1"/>
  <c r="T53" i="1"/>
  <c r="S53" i="1"/>
  <c r="R53" i="1"/>
  <c r="P49" i="1"/>
  <c r="P46" i="1" s="1"/>
  <c r="P53" i="1" s="1"/>
  <c r="U40" i="1"/>
  <c r="T40" i="1"/>
  <c r="R40" i="1"/>
  <c r="U39" i="1"/>
  <c r="T39" i="1"/>
  <c r="R39" i="1"/>
  <c r="P38" i="1"/>
  <c r="P40" i="1" s="1"/>
  <c r="S36" i="1"/>
  <c r="S40" i="1" s="1"/>
  <c r="U33" i="1"/>
  <c r="U34" i="1" s="1"/>
  <c r="T33" i="1"/>
  <c r="T34" i="1" s="1"/>
  <c r="S33" i="1"/>
  <c r="S34" i="1" s="1"/>
  <c r="R33" i="1"/>
  <c r="R34" i="1" s="1"/>
  <c r="P33" i="1"/>
  <c r="U32" i="1"/>
  <c r="T32" i="1"/>
  <c r="S32" i="1"/>
  <c r="R32" i="1"/>
  <c r="P32" i="1"/>
  <c r="U21" i="1"/>
  <c r="U22" i="1" s="1"/>
  <c r="T21" i="1"/>
  <c r="T22" i="1" s="1"/>
  <c r="S21" i="1"/>
  <c r="S22" i="1" s="1"/>
  <c r="U20" i="1"/>
  <c r="T20" i="1"/>
  <c r="S20" i="1"/>
  <c r="P18" i="1"/>
  <c r="R14" i="1"/>
  <c r="R21" i="1" s="1"/>
  <c r="R22" i="1" s="1"/>
  <c r="P12" i="1"/>
  <c r="U9" i="1"/>
  <c r="U10" i="1" s="1"/>
  <c r="T9" i="1"/>
  <c r="T10" i="1" s="1"/>
  <c r="S9" i="1"/>
  <c r="S10" i="1" s="1"/>
  <c r="R9" i="1"/>
  <c r="R10" i="1" s="1"/>
  <c r="U8" i="1"/>
  <c r="T8" i="1"/>
  <c r="S8" i="1"/>
  <c r="R8" i="1"/>
  <c r="P3" i="1"/>
  <c r="Y8" i="1"/>
  <c r="Y429" i="1"/>
  <c r="Y430" i="1" s="1"/>
  <c r="Y428" i="1"/>
  <c r="Y417" i="1"/>
  <c r="Y418" i="1" s="1"/>
  <c r="Y416" i="1"/>
  <c r="Y406" i="1"/>
  <c r="Y405" i="1"/>
  <c r="Y400" i="1"/>
  <c r="Y401" i="1" s="1"/>
  <c r="Y399" i="1"/>
  <c r="Y389" i="1"/>
  <c r="Y390" i="1" s="1"/>
  <c r="Y388" i="1"/>
  <c r="Y377" i="1"/>
  <c r="Y376" i="1"/>
  <c r="Y370" i="1"/>
  <c r="Y371" i="1" s="1"/>
  <c r="Y369" i="1"/>
  <c r="Y359" i="1"/>
  <c r="Y360" i="1" s="1"/>
  <c r="Y358" i="1"/>
  <c r="Y347" i="1"/>
  <c r="Y348" i="1" s="1"/>
  <c r="Y346" i="1"/>
  <c r="Y337" i="1"/>
  <c r="Y338" i="1" s="1"/>
  <c r="Y336" i="1"/>
  <c r="Y325" i="1"/>
  <c r="Y326" i="1" s="1"/>
  <c r="Y324" i="1"/>
  <c r="Y313" i="1"/>
  <c r="Y312" i="1"/>
  <c r="Y306" i="1"/>
  <c r="Y307" i="1" s="1"/>
  <c r="Y305" i="1"/>
  <c r="Y294" i="1"/>
  <c r="Y295" i="1" s="1"/>
  <c r="Y293" i="1"/>
  <c r="Y282" i="1"/>
  <c r="Y281" i="1"/>
  <c r="Y276" i="1"/>
  <c r="Y277" i="1" s="1"/>
  <c r="Y275" i="1"/>
  <c r="Y262" i="1"/>
  <c r="Y261" i="1" s="1"/>
  <c r="Y260" i="1"/>
  <c r="Y255" i="1"/>
  <c r="Y256" i="1" s="1"/>
  <c r="Y254" i="1"/>
  <c r="Y246" i="1"/>
  <c r="Y247" i="1" s="1"/>
  <c r="Y245" i="1"/>
  <c r="Y237" i="1"/>
  <c r="Y238" i="1" s="1"/>
  <c r="Y236" i="1"/>
  <c r="Y227" i="1"/>
  <c r="Y226" i="1"/>
  <c r="Y220" i="1"/>
  <c r="Y221" i="1" s="1"/>
  <c r="Y219" i="1"/>
  <c r="Y208" i="1"/>
  <c r="Y209" i="1" s="1"/>
  <c r="Y207" i="1"/>
  <c r="Y196" i="1"/>
  <c r="Y195" i="1"/>
  <c r="Y189" i="1"/>
  <c r="Y190" i="1" s="1"/>
  <c r="Y188" i="1"/>
  <c r="Y180" i="1"/>
  <c r="Y181" i="1" s="1"/>
  <c r="Y179" i="1"/>
  <c r="Y168" i="1"/>
  <c r="Y167" i="1"/>
  <c r="Y161" i="1"/>
  <c r="Y162" i="1" s="1"/>
  <c r="Y160" i="1"/>
  <c r="Y153" i="1"/>
  <c r="Y154" i="1" s="1"/>
  <c r="Y152" i="1"/>
  <c r="Y138" i="1"/>
  <c r="Y139" i="1" s="1"/>
  <c r="Y137" i="1"/>
  <c r="Y130" i="1"/>
  <c r="Y131" i="1" s="1"/>
  <c r="Y129" i="1"/>
  <c r="Y113" i="1"/>
  <c r="Y112" i="1" s="1"/>
  <c r="Y111" i="1" s="1"/>
  <c r="Y105" i="1"/>
  <c r="Y104" i="1"/>
  <c r="Y98" i="1"/>
  <c r="Y99" i="1" s="1"/>
  <c r="Y97" i="1"/>
  <c r="Y86" i="1"/>
  <c r="Y87" i="1" s="1"/>
  <c r="Y85" i="1"/>
  <c r="Y73" i="1"/>
  <c r="Y72" i="1"/>
  <c r="Y66" i="1"/>
  <c r="Y67" i="1" s="1"/>
  <c r="Y65" i="1"/>
  <c r="Y54" i="1"/>
  <c r="Y55" i="1" s="1"/>
  <c r="Y53" i="1"/>
  <c r="Y40" i="1"/>
  <c r="Y39" i="1"/>
  <c r="Y33" i="1"/>
  <c r="Y34" i="1" s="1"/>
  <c r="Y32" i="1"/>
  <c r="Y21" i="1"/>
  <c r="Y22" i="1" s="1"/>
  <c r="Y20" i="1"/>
  <c r="Y9" i="1"/>
  <c r="Y10" i="1" s="1"/>
  <c r="W417" i="1"/>
  <c r="W418" i="1" s="1"/>
  <c r="W416" i="1"/>
  <c r="W370" i="1"/>
  <c r="W371" i="1" s="1"/>
  <c r="W369" i="1"/>
  <c r="W359" i="1"/>
  <c r="W360" i="1" s="1"/>
  <c r="W358" i="1"/>
  <c r="W267" i="1"/>
  <c r="W268" i="1" s="1"/>
  <c r="W266" i="1"/>
  <c r="W255" i="1"/>
  <c r="W256" i="1" s="1"/>
  <c r="W254" i="1"/>
  <c r="W220" i="1"/>
  <c r="W221" i="1" s="1"/>
  <c r="W219" i="1"/>
  <c r="W196" i="1"/>
  <c r="W197" i="1" s="1"/>
  <c r="W195" i="1"/>
  <c r="W189" i="1"/>
  <c r="W190" i="1" s="1"/>
  <c r="W188" i="1"/>
  <c r="W105" i="1"/>
  <c r="W106" i="1" s="1"/>
  <c r="W104" i="1"/>
  <c r="V427" i="1"/>
  <c r="V426" i="1"/>
  <c r="V425" i="1"/>
  <c r="V424" i="1"/>
  <c r="V423" i="1"/>
  <c r="V422" i="1"/>
  <c r="V421" i="1"/>
  <c r="V420" i="1"/>
  <c r="V415" i="1"/>
  <c r="V414" i="1"/>
  <c r="V412" i="1"/>
  <c r="V411" i="1"/>
  <c r="V410" i="1"/>
  <c r="V409" i="1"/>
  <c r="V404" i="1"/>
  <c r="V403" i="1"/>
  <c r="V398" i="1"/>
  <c r="V395" i="1"/>
  <c r="V394" i="1"/>
  <c r="V393" i="1"/>
  <c r="V392" i="1"/>
  <c r="V387" i="1"/>
  <c r="V386" i="1"/>
  <c r="V384" i="1"/>
  <c r="V383" i="1"/>
  <c r="V381" i="1"/>
  <c r="V379" i="1"/>
  <c r="V375" i="1"/>
  <c r="V374" i="1"/>
  <c r="V373" i="1"/>
  <c r="V372" i="1"/>
  <c r="V367" i="1"/>
  <c r="V366" i="1"/>
  <c r="V363" i="1"/>
  <c r="V357" i="1"/>
  <c r="V354" i="1"/>
  <c r="V353" i="1"/>
  <c r="V351" i="1"/>
  <c r="V350" i="1"/>
  <c r="V349" i="1"/>
  <c r="V345" i="1"/>
  <c r="V344" i="1"/>
  <c r="V343" i="1"/>
  <c r="V342" i="1"/>
  <c r="V341" i="1"/>
  <c r="V340" i="1"/>
  <c r="V339" i="1"/>
  <c r="V335" i="1"/>
  <c r="V332" i="1"/>
  <c r="V331" i="1"/>
  <c r="V330" i="1"/>
  <c r="V329" i="1"/>
  <c r="V328" i="1"/>
  <c r="V327" i="1"/>
  <c r="V323" i="1"/>
  <c r="V322" i="1"/>
  <c r="V321" i="1"/>
  <c r="V320" i="1"/>
  <c r="V319" i="1"/>
  <c r="V318" i="1"/>
  <c r="V317" i="1"/>
  <c r="V316" i="1"/>
  <c r="V315" i="1"/>
  <c r="V311" i="1"/>
  <c r="V310" i="1"/>
  <c r="V309" i="1"/>
  <c r="V308" i="1"/>
  <c r="V304" i="1"/>
  <c r="V303" i="1"/>
  <c r="V302" i="1"/>
  <c r="V301" i="1"/>
  <c r="V300" i="1"/>
  <c r="V299" i="1"/>
  <c r="V298" i="1"/>
  <c r="V297" i="1"/>
  <c r="V296" i="1"/>
  <c r="V292" i="1"/>
  <c r="V291" i="1"/>
  <c r="V290" i="1"/>
  <c r="V289" i="1"/>
  <c r="V288" i="1"/>
  <c r="V287" i="1"/>
  <c r="V286" i="1"/>
  <c r="V285" i="1"/>
  <c r="V284" i="1"/>
  <c r="V280" i="1"/>
  <c r="V279" i="1"/>
  <c r="V273" i="1"/>
  <c r="V270" i="1"/>
  <c r="V269" i="1"/>
  <c r="V264" i="1"/>
  <c r="V263" i="1"/>
  <c r="V262" i="1"/>
  <c r="V260" i="1"/>
  <c r="V259" i="1"/>
  <c r="V258" i="1"/>
  <c r="V257" i="1"/>
  <c r="V253" i="1"/>
  <c r="V252" i="1"/>
  <c r="V249" i="1"/>
  <c r="V248" i="1"/>
  <c r="V244" i="1"/>
  <c r="V243" i="1"/>
  <c r="V242" i="1"/>
  <c r="V239" i="1"/>
  <c r="V235" i="1"/>
  <c r="V233" i="1"/>
  <c r="V232" i="1"/>
  <c r="V231" i="1"/>
  <c r="V230" i="1"/>
  <c r="V229" i="1"/>
  <c r="V225" i="1"/>
  <c r="V224" i="1"/>
  <c r="V223" i="1"/>
  <c r="V222" i="1"/>
  <c r="V214" i="1"/>
  <c r="V213" i="1"/>
  <c r="V212" i="1"/>
  <c r="V211" i="1"/>
  <c r="V210" i="1"/>
  <c r="V206" i="1"/>
  <c r="V205" i="1"/>
  <c r="V204" i="1"/>
  <c r="V203" i="1"/>
  <c r="V202" i="1"/>
  <c r="V201" i="1"/>
  <c r="V200" i="1"/>
  <c r="V199" i="1"/>
  <c r="V198" i="1"/>
  <c r="V194" i="1"/>
  <c r="V192" i="1"/>
  <c r="V191" i="1"/>
  <c r="V187" i="1"/>
  <c r="V186" i="1"/>
  <c r="V183" i="1"/>
  <c r="V177" i="1"/>
  <c r="V175" i="1"/>
  <c r="V173" i="1"/>
  <c r="V171" i="1"/>
  <c r="V170" i="1"/>
  <c r="V166" i="1"/>
  <c r="V165" i="1"/>
  <c r="V164" i="1"/>
  <c r="V163" i="1"/>
  <c r="V157" i="1"/>
  <c r="V156" i="1"/>
  <c r="V151" i="1"/>
  <c r="V149" i="1"/>
  <c r="V148" i="1"/>
  <c r="V147" i="1"/>
  <c r="V145" i="1"/>
  <c r="V143" i="1"/>
  <c r="V141" i="1"/>
  <c r="V140" i="1"/>
  <c r="V136" i="1"/>
  <c r="V135" i="1"/>
  <c r="V134" i="1"/>
  <c r="V127" i="1"/>
  <c r="V124" i="1"/>
  <c r="V122" i="1"/>
  <c r="V121" i="1"/>
  <c r="V116" i="1"/>
  <c r="V115" i="1"/>
  <c r="V113" i="1"/>
  <c r="V112" i="1"/>
  <c r="V111" i="1"/>
  <c r="V110" i="1"/>
  <c r="V107" i="1"/>
  <c r="V103" i="1"/>
  <c r="V102" i="1"/>
  <c r="V101" i="1"/>
  <c r="V96" i="1"/>
  <c r="V95" i="1"/>
  <c r="V93" i="1"/>
  <c r="V92" i="1"/>
  <c r="V91" i="1"/>
  <c r="V90" i="1"/>
  <c r="V88" i="1"/>
  <c r="V84" i="1"/>
  <c r="V83" i="1"/>
  <c r="V82" i="1"/>
  <c r="V81" i="1"/>
  <c r="V80" i="1"/>
  <c r="V79" i="1"/>
  <c r="V78" i="1"/>
  <c r="V77" i="1"/>
  <c r="V76" i="1"/>
  <c r="V75" i="1"/>
  <c r="V71" i="1"/>
  <c r="V70" i="1"/>
  <c r="V69" i="1"/>
  <c r="V68" i="1"/>
  <c r="V64" i="1"/>
  <c r="V63" i="1"/>
  <c r="V61" i="1"/>
  <c r="V60" i="1"/>
  <c r="V59" i="1"/>
  <c r="V58" i="1"/>
  <c r="V57" i="1"/>
  <c r="V56" i="1"/>
  <c r="V52" i="1"/>
  <c r="V51" i="1"/>
  <c r="V50" i="1"/>
  <c r="V48" i="1"/>
  <c r="V47" i="1"/>
  <c r="V46" i="1"/>
  <c r="V45" i="1"/>
  <c r="V43" i="1"/>
  <c r="V42" i="1"/>
  <c r="V38" i="1"/>
  <c r="V37" i="1"/>
  <c r="V36" i="1"/>
  <c r="V35" i="1"/>
  <c r="V29" i="1"/>
  <c r="V28" i="1"/>
  <c r="V26" i="1"/>
  <c r="V25" i="1"/>
  <c r="V23" i="1"/>
  <c r="V19" i="1"/>
  <c r="V18" i="1"/>
  <c r="V17" i="1"/>
  <c r="V16" i="1"/>
  <c r="V13" i="1"/>
  <c r="V12" i="1"/>
  <c r="V11" i="1"/>
  <c r="V7" i="1"/>
  <c r="V6" i="1"/>
  <c r="V5" i="1"/>
  <c r="V4" i="1"/>
  <c r="W423" i="1"/>
  <c r="W429" i="1" s="1"/>
  <c r="W430" i="1" s="1"/>
  <c r="W402" i="1"/>
  <c r="W406" i="1" s="1"/>
  <c r="W407" i="1" s="1"/>
  <c r="W385" i="1"/>
  <c r="W389" i="1" s="1"/>
  <c r="W390" i="1" s="1"/>
  <c r="W373" i="1"/>
  <c r="W372" i="1" s="1"/>
  <c r="W345" i="1"/>
  <c r="W347" i="1" s="1"/>
  <c r="W348" i="1" s="1"/>
  <c r="W329" i="1"/>
  <c r="W337" i="1" s="1"/>
  <c r="W338" i="1" s="1"/>
  <c r="W319" i="1"/>
  <c r="W324" i="1" s="1"/>
  <c r="W311" i="1"/>
  <c r="W313" i="1" s="1"/>
  <c r="W314" i="1" s="1"/>
  <c r="W299" i="1"/>
  <c r="W306" i="1" s="1"/>
  <c r="W307" i="1" s="1"/>
  <c r="W289" i="1"/>
  <c r="W294" i="1" s="1"/>
  <c r="W295" i="1" s="1"/>
  <c r="W279" i="1"/>
  <c r="W282" i="1" s="1"/>
  <c r="W283" i="1" s="1"/>
  <c r="W269" i="1"/>
  <c r="W276" i="1" s="1"/>
  <c r="W277" i="1" s="1"/>
  <c r="W243" i="1"/>
  <c r="W240" i="1" s="1"/>
  <c r="W246" i="1" s="1"/>
  <c r="W247" i="1" s="1"/>
  <c r="W231" i="1"/>
  <c r="W237" i="1" s="1"/>
  <c r="W238" i="1" s="1"/>
  <c r="W223" i="1"/>
  <c r="W227" i="1" s="1"/>
  <c r="W228" i="1" s="1"/>
  <c r="W205" i="1"/>
  <c r="W173" i="1"/>
  <c r="W180" i="1" s="1"/>
  <c r="W181" i="1" s="1"/>
  <c r="W166" i="1"/>
  <c r="W168" i="1" s="1"/>
  <c r="W169" i="1" s="1"/>
  <c r="W159" i="1"/>
  <c r="W161" i="1" s="1"/>
  <c r="W162" i="1" s="1"/>
  <c r="W150" i="1"/>
  <c r="W153" i="1" s="1"/>
  <c r="W154" i="1" s="1"/>
  <c r="W134" i="1"/>
  <c r="W138" i="1" s="1"/>
  <c r="W139" i="1" s="1"/>
  <c r="W128" i="1"/>
  <c r="W130" i="1" s="1"/>
  <c r="W131" i="1" s="1"/>
  <c r="W113" i="1"/>
  <c r="W109" i="1" s="1"/>
  <c r="W117" i="1" s="1"/>
  <c r="W91" i="1"/>
  <c r="W98" i="1" s="1"/>
  <c r="W99" i="1" s="1"/>
  <c r="W75" i="1"/>
  <c r="W83" i="1" s="1"/>
  <c r="W71" i="1"/>
  <c r="W72" i="1" s="1"/>
  <c r="W62" i="1"/>
  <c r="W66" i="1" s="1"/>
  <c r="W67" i="1" s="1"/>
  <c r="W49" i="1"/>
  <c r="W48" i="1"/>
  <c r="W38" i="1"/>
  <c r="W39" i="1" s="1"/>
  <c r="W31" i="1"/>
  <c r="W28" i="1"/>
  <c r="W16" i="1"/>
  <c r="W11" i="1" s="1"/>
  <c r="W21" i="1" s="1"/>
  <c r="W22" i="1" s="1"/>
  <c r="W3" i="1"/>
  <c r="W7" i="1" s="1"/>
  <c r="Q429" i="1"/>
  <c r="Q430" i="1" s="1"/>
  <c r="Q428" i="1"/>
  <c r="Q417" i="1"/>
  <c r="Q418" i="1" s="1"/>
  <c r="Q416" i="1"/>
  <c r="Q402" i="1"/>
  <c r="Q405" i="1" s="1"/>
  <c r="Q400" i="1"/>
  <c r="Q401" i="1" s="1"/>
  <c r="Q399" i="1"/>
  <c r="Q380" i="1"/>
  <c r="Q388" i="1" s="1"/>
  <c r="Q377" i="1"/>
  <c r="Q378" i="1" s="1"/>
  <c r="Q376" i="1"/>
  <c r="Q365" i="1"/>
  <c r="Q370" i="1" s="1"/>
  <c r="Q371" i="1" s="1"/>
  <c r="Q352" i="1"/>
  <c r="Q358" i="1" s="1"/>
  <c r="Q347" i="1"/>
  <c r="Q348" i="1" s="1"/>
  <c r="Q346" i="1"/>
  <c r="Q337" i="1"/>
  <c r="Q338" i="1" s="1"/>
  <c r="Q336" i="1"/>
  <c r="Q325" i="1"/>
  <c r="Q326" i="1" s="1"/>
  <c r="Q324" i="1"/>
  <c r="Q313" i="1"/>
  <c r="Q314" i="1" s="1"/>
  <c r="Q312" i="1"/>
  <c r="Q306" i="1"/>
  <c r="Q307" i="1" s="1"/>
  <c r="Q305" i="1"/>
  <c r="Q294" i="1"/>
  <c r="Q295" i="1" s="1"/>
  <c r="Q293" i="1"/>
  <c r="Q278" i="1"/>
  <c r="Q281" i="1" s="1"/>
  <c r="Q272" i="1"/>
  <c r="Q276" i="1" s="1"/>
  <c r="Q277" i="1" s="1"/>
  <c r="Q267" i="1"/>
  <c r="Q268" i="1" s="1"/>
  <c r="Q266" i="1"/>
  <c r="Q251" i="1"/>
  <c r="V251" i="1" s="1"/>
  <c r="Q250" i="1"/>
  <c r="V250" i="1" s="1"/>
  <c r="Q241" i="1"/>
  <c r="Q245" i="1" s="1"/>
  <c r="Q237" i="1"/>
  <c r="Q238" i="1" s="1"/>
  <c r="Q236" i="1"/>
  <c r="Q227" i="1"/>
  <c r="Q228" i="1" s="1"/>
  <c r="Q226" i="1"/>
  <c r="Q216" i="1"/>
  <c r="Q220" i="1" s="1"/>
  <c r="Q221" i="1" s="1"/>
  <c r="Q208" i="1"/>
  <c r="Q209" i="1" s="1"/>
  <c r="Q207" i="1"/>
  <c r="Q193" i="1"/>
  <c r="Q196" i="1" s="1"/>
  <c r="Q197" i="1" s="1"/>
  <c r="Q185" i="1"/>
  <c r="Q189" i="1" s="1"/>
  <c r="Q190" i="1" s="1"/>
  <c r="Q172" i="1"/>
  <c r="Q180" i="1" s="1"/>
  <c r="Q181" i="1" s="1"/>
  <c r="Q168" i="1"/>
  <c r="Q169" i="1" s="1"/>
  <c r="Q167" i="1"/>
  <c r="Q158" i="1"/>
  <c r="Q160" i="1" s="1"/>
  <c r="Q146" i="1"/>
  <c r="Q153" i="1" s="1"/>
  <c r="Q154" i="1" s="1"/>
  <c r="Q133" i="1"/>
  <c r="Q132" i="1" s="1"/>
  <c r="V132" i="1" s="1"/>
  <c r="Q125" i="1"/>
  <c r="Q130" i="1" s="1"/>
  <c r="Q131" i="1" s="1"/>
  <c r="Q108" i="1"/>
  <c r="V108" i="1" s="1"/>
  <c r="Q100" i="1"/>
  <c r="Q105" i="1" s="1"/>
  <c r="Q106" i="1" s="1"/>
  <c r="Q89" i="1"/>
  <c r="Q94" i="1" s="1"/>
  <c r="Q98" i="1" s="1"/>
  <c r="Q99" i="1" s="1"/>
  <c r="Q86" i="1"/>
  <c r="Q87" i="1" s="1"/>
  <c r="Q85" i="1"/>
  <c r="Q73" i="1"/>
  <c r="Q74" i="1" s="1"/>
  <c r="Q72" i="1"/>
  <c r="Q62" i="1"/>
  <c r="Q65" i="1" s="1"/>
  <c r="Q44" i="1"/>
  <c r="Q54" i="1" s="1"/>
  <c r="Q55" i="1" s="1"/>
  <c r="Q40" i="1"/>
  <c r="Q41" i="1" s="1"/>
  <c r="Q39" i="1"/>
  <c r="Q30" i="1"/>
  <c r="Q32" i="1" s="1"/>
  <c r="Q15" i="1"/>
  <c r="Q21" i="1" s="1"/>
  <c r="Q22" i="1" s="1"/>
  <c r="Q3" i="1"/>
  <c r="Q8" i="1" s="1"/>
  <c r="N209" i="3" l="1"/>
  <c r="N210" i="3"/>
  <c r="N211" i="3" s="1"/>
  <c r="N286" i="3"/>
  <c r="N98" i="3"/>
  <c r="N99" i="3" s="1"/>
  <c r="N176" i="3"/>
  <c r="O209" i="3"/>
  <c r="N319" i="3"/>
  <c r="M17" i="3"/>
  <c r="O176" i="3"/>
  <c r="O318" i="3"/>
  <c r="N376" i="3"/>
  <c r="N22" i="3"/>
  <c r="N227" i="3"/>
  <c r="N229" i="3" s="1"/>
  <c r="N151" i="3"/>
  <c r="O233" i="3"/>
  <c r="N17" i="3"/>
  <c r="N24" i="3" s="1"/>
  <c r="N31" i="3" s="1"/>
  <c r="N343" i="3"/>
  <c r="N411" i="3"/>
  <c r="O17" i="3"/>
  <c r="O24" i="3" s="1"/>
  <c r="O31" i="3" s="1"/>
  <c r="N294" i="3"/>
  <c r="N295" i="3" s="1"/>
  <c r="O343" i="3"/>
  <c r="N239" i="3"/>
  <c r="N248" i="3" s="1"/>
  <c r="N247" i="3" s="1"/>
  <c r="N245" i="3" s="1"/>
  <c r="O286" i="3"/>
  <c r="M363" i="3"/>
  <c r="M362" i="3"/>
  <c r="N53" i="3"/>
  <c r="N60" i="3" s="1"/>
  <c r="N82" i="3"/>
  <c r="O99" i="3"/>
  <c r="O105" i="3" s="1"/>
  <c r="O319" i="3"/>
  <c r="N363" i="3"/>
  <c r="N362" i="3"/>
  <c r="O82" i="3"/>
  <c r="M151" i="3"/>
  <c r="M152" i="3"/>
  <c r="M153" i="3" s="1"/>
  <c r="M46" i="3"/>
  <c r="M53" i="3" s="1"/>
  <c r="M60" i="3" s="1"/>
  <c r="O238" i="3"/>
  <c r="O239" i="3" s="1"/>
  <c r="O237" i="3"/>
  <c r="N184" i="3"/>
  <c r="M24" i="3"/>
  <c r="M31" i="3" s="1"/>
  <c r="O53" i="3"/>
  <c r="O60" i="3" s="1"/>
  <c r="M184" i="3"/>
  <c r="O362" i="3"/>
  <c r="O363" i="3"/>
  <c r="O364" i="3" s="1"/>
  <c r="M75" i="3"/>
  <c r="M82" i="3" s="1"/>
  <c r="M105" i="3"/>
  <c r="O184" i="3"/>
  <c r="M319" i="3"/>
  <c r="O376" i="3"/>
  <c r="M399" i="3"/>
  <c r="M164" i="3"/>
  <c r="M237" i="3"/>
  <c r="M29" i="3"/>
  <c r="N80" i="3"/>
  <c r="M182" i="3"/>
  <c r="M195" i="3"/>
  <c r="M196" i="3" s="1"/>
  <c r="M218" i="3"/>
  <c r="M219" i="3" s="1"/>
  <c r="N237" i="3"/>
  <c r="M250" i="3"/>
  <c r="M251" i="3" s="1"/>
  <c r="N270" i="3"/>
  <c r="O305" i="3"/>
  <c r="O307" i="3" s="1"/>
  <c r="O374" i="3"/>
  <c r="M15" i="3"/>
  <c r="M51" i="3"/>
  <c r="M67" i="3"/>
  <c r="O80" i="3"/>
  <c r="N182" i="3"/>
  <c r="N195" i="3"/>
  <c r="N196" i="3" s="1"/>
  <c r="N257" i="3"/>
  <c r="M317" i="3"/>
  <c r="O350" i="3"/>
  <c r="O352" i="3" s="1"/>
  <c r="N386" i="3"/>
  <c r="N388" i="3" s="1"/>
  <c r="O29" i="3"/>
  <c r="N51" i="3"/>
  <c r="N67" i="3"/>
  <c r="N126" i="3"/>
  <c r="N127" i="3" s="1"/>
  <c r="O182" i="3"/>
  <c r="M209" i="3"/>
  <c r="M227" i="3"/>
  <c r="M230" i="3" s="1"/>
  <c r="M231" i="3" s="1"/>
  <c r="M260" i="3"/>
  <c r="M261" i="3" s="1"/>
  <c r="O262" i="3"/>
  <c r="O263" i="3" s="1"/>
  <c r="M53" i="2"/>
  <c r="M122" i="2"/>
  <c r="M72" i="2"/>
  <c r="Q85" i="2"/>
  <c r="Q505" i="2" s="1"/>
  <c r="Q339" i="2"/>
  <c r="Q735" i="2" s="1"/>
  <c r="M22" i="2"/>
  <c r="M199" i="2"/>
  <c r="O216" i="2"/>
  <c r="M368" i="2"/>
  <c r="N218" i="2"/>
  <c r="Q382" i="2"/>
  <c r="O377" i="2"/>
  <c r="O104" i="2"/>
  <c r="M351" i="2"/>
  <c r="O328" i="2"/>
  <c r="O381" i="2"/>
  <c r="R85" i="2"/>
  <c r="R505" i="2" s="1"/>
  <c r="M109" i="2"/>
  <c r="M110" i="2" s="1"/>
  <c r="O248" i="2"/>
  <c r="M358" i="2"/>
  <c r="Q482" i="2"/>
  <c r="R320" i="2"/>
  <c r="O275" i="2"/>
  <c r="M295" i="2"/>
  <c r="M296" i="2" s="1"/>
  <c r="Q370" i="2"/>
  <c r="Q763" i="2" s="1"/>
  <c r="M143" i="2"/>
  <c r="M145" i="2" s="1"/>
  <c r="O307" i="2"/>
  <c r="O308" i="2" s="1"/>
  <c r="Q399" i="2"/>
  <c r="Q34" i="2"/>
  <c r="Q461" i="2" s="1"/>
  <c r="M171" i="2"/>
  <c r="O234" i="2"/>
  <c r="O235" i="2" s="1"/>
  <c r="O350" i="2"/>
  <c r="O349" i="2"/>
  <c r="M65" i="2"/>
  <c r="O70" i="2"/>
  <c r="M95" i="2"/>
  <c r="M97" i="2" s="1"/>
  <c r="M227" i="2"/>
  <c r="O250" i="2"/>
  <c r="O277" i="2"/>
  <c r="M308" i="2"/>
  <c r="O39" i="2"/>
  <c r="M102" i="2"/>
  <c r="M104" i="2" s="1"/>
  <c r="M275" i="2"/>
  <c r="M277" i="2" s="1"/>
  <c r="M85" i="2"/>
  <c r="O102" i="2"/>
  <c r="M248" i="2"/>
  <c r="M250" i="2" s="1"/>
  <c r="M338" i="2"/>
  <c r="M339" i="2" s="1"/>
  <c r="M388" i="2"/>
  <c r="M399" i="2"/>
  <c r="O339" i="2"/>
  <c r="O398" i="2"/>
  <c r="O399" i="2" s="1"/>
  <c r="O9" i="2"/>
  <c r="O10" i="2" s="1"/>
  <c r="O52" i="2"/>
  <c r="O53" i="2" s="1"/>
  <c r="M129" i="2"/>
  <c r="M130" i="2" s="1"/>
  <c r="O178" i="2"/>
  <c r="M187" i="2"/>
  <c r="M218" i="2"/>
  <c r="M259" i="2"/>
  <c r="M328" i="2"/>
  <c r="M330" i="2" s="1"/>
  <c r="O380" i="2"/>
  <c r="O410" i="2"/>
  <c r="O411" i="2" s="1"/>
  <c r="M153" i="2"/>
  <c r="M370" i="2"/>
  <c r="M381" i="2"/>
  <c r="O287" i="2"/>
  <c r="O288" i="2"/>
  <c r="O185" i="2"/>
  <c r="O186" i="2"/>
  <c r="O187" i="2" s="1"/>
  <c r="M33" i="2"/>
  <c r="M172" i="2"/>
  <c r="O218" i="2"/>
  <c r="M319" i="2"/>
  <c r="M318" i="2"/>
  <c r="O72" i="2"/>
  <c r="M7" i="2"/>
  <c r="M9" i="2" s="1"/>
  <c r="M32" i="2"/>
  <c r="O109" i="2"/>
  <c r="O110" i="2" s="1"/>
  <c r="O128" i="2"/>
  <c r="O143" i="2"/>
  <c r="M209" i="2"/>
  <c r="M211" i="2" s="1"/>
  <c r="O226" i="2"/>
  <c r="O227" i="2" s="1"/>
  <c r="M242" i="2"/>
  <c r="M244" i="2" s="1"/>
  <c r="O258" i="2"/>
  <c r="O259" i="2" s="1"/>
  <c r="M263" i="2"/>
  <c r="M265" i="2" s="1"/>
  <c r="M410" i="2"/>
  <c r="M411" i="2" s="1"/>
  <c r="O152" i="2"/>
  <c r="O153" i="2" s="1"/>
  <c r="O160" i="2" s="1"/>
  <c r="M158" i="2"/>
  <c r="M160" i="2" s="1"/>
  <c r="M179" i="2"/>
  <c r="M180" i="2" s="1"/>
  <c r="M233" i="2"/>
  <c r="M235" i="2" s="1"/>
  <c r="O242" i="2"/>
  <c r="M288" i="2"/>
  <c r="M289" i="2" s="1"/>
  <c r="O295" i="2"/>
  <c r="O318" i="2"/>
  <c r="O320" i="2" s="1"/>
  <c r="M380" i="2"/>
  <c r="O170" i="2"/>
  <c r="O30" i="2"/>
  <c r="O31" i="2" s="1"/>
  <c r="O366" i="2"/>
  <c r="O369" i="2" s="1"/>
  <c r="R144" i="2"/>
  <c r="R145" i="2" s="1"/>
  <c r="R242" i="2"/>
  <c r="R797" i="2"/>
  <c r="Q562" i="2"/>
  <c r="Q210" i="2"/>
  <c r="Q211" i="2" s="1"/>
  <c r="Q218" i="2" s="1"/>
  <c r="Q388" i="2"/>
  <c r="Q308" i="2"/>
  <c r="Q785" i="2"/>
  <c r="R308" i="2"/>
  <c r="R706" i="2" s="1"/>
  <c r="R785" i="2"/>
  <c r="R33" i="2"/>
  <c r="R460" i="2" s="1"/>
  <c r="Q320" i="2"/>
  <c r="Q536" i="2"/>
  <c r="R382" i="2"/>
  <c r="R388" i="2" s="1"/>
  <c r="Q794" i="2"/>
  <c r="Q277" i="2"/>
  <c r="Q679" i="2" s="1"/>
  <c r="R411" i="2"/>
  <c r="Q501" i="2"/>
  <c r="Q502" i="2"/>
  <c r="Q41" i="2"/>
  <c r="Q467" i="2" s="1"/>
  <c r="R63" i="2"/>
  <c r="R486" i="2" s="1"/>
  <c r="R95" i="2"/>
  <c r="Q180" i="2"/>
  <c r="Q591" i="2" s="1"/>
  <c r="R198" i="2"/>
  <c r="R199" i="2" s="1"/>
  <c r="R259" i="2"/>
  <c r="R663" i="2" s="1"/>
  <c r="R666" i="2" s="1"/>
  <c r="Q445" i="2"/>
  <c r="Q446" i="2"/>
  <c r="R501" i="2"/>
  <c r="Q690" i="2"/>
  <c r="Q782" i="2"/>
  <c r="R690" i="2"/>
  <c r="Q687" i="2"/>
  <c r="R295" i="2"/>
  <c r="R445" i="2"/>
  <c r="Q483" i="2"/>
  <c r="Q678" i="2"/>
  <c r="Q762" i="2"/>
  <c r="Q786" i="2"/>
  <c r="R64" i="2"/>
  <c r="R487" i="2" s="1"/>
  <c r="Q235" i="2"/>
  <c r="Q641" i="2" s="1"/>
  <c r="Q643" i="2" s="1"/>
  <c r="R687" i="2"/>
  <c r="R338" i="2"/>
  <c r="R734" i="2" s="1"/>
  <c r="R399" i="2"/>
  <c r="R457" i="2"/>
  <c r="Q662" i="2"/>
  <c r="Q666" i="2" s="1"/>
  <c r="Q685" i="2"/>
  <c r="Q790" i="2"/>
  <c r="N308" i="2"/>
  <c r="Q65" i="2"/>
  <c r="Q488" i="2" s="1"/>
  <c r="R235" i="2"/>
  <c r="R641" i="2" s="1"/>
  <c r="R644" i="2" s="1"/>
  <c r="Q688" i="2"/>
  <c r="Q458" i="2"/>
  <c r="R685" i="2"/>
  <c r="Q734" i="2"/>
  <c r="Q738" i="2" s="1"/>
  <c r="R585" i="2"/>
  <c r="Q706" i="2"/>
  <c r="Q716" i="2" s="1"/>
  <c r="R777" i="2"/>
  <c r="Q797" i="2"/>
  <c r="Q534" i="2"/>
  <c r="Q798" i="2"/>
  <c r="Q490" i="2"/>
  <c r="R513" i="2"/>
  <c r="R512" i="2"/>
  <c r="R515" i="2"/>
  <c r="R514" i="2"/>
  <c r="Q449" i="2"/>
  <c r="Q448" i="2"/>
  <c r="Q447" i="2"/>
  <c r="Q450" i="2"/>
  <c r="R449" i="2"/>
  <c r="R448" i="2"/>
  <c r="R447" i="2"/>
  <c r="R450" i="2"/>
  <c r="R104" i="2"/>
  <c r="R110" i="2" s="1"/>
  <c r="R527" i="2" s="1"/>
  <c r="Q826" i="2"/>
  <c r="Q822" i="2"/>
  <c r="Q437" i="2"/>
  <c r="Q825" i="2"/>
  <c r="Q436" i="2"/>
  <c r="Q824" i="2"/>
  <c r="Q435" i="2"/>
  <c r="R526" i="2"/>
  <c r="Q774" i="2"/>
  <c r="R826" i="2"/>
  <c r="R822" i="2"/>
  <c r="R437" i="2"/>
  <c r="R825" i="2"/>
  <c r="R436" i="2"/>
  <c r="R824" i="2"/>
  <c r="R435" i="2"/>
  <c r="R823" i="2"/>
  <c r="R438" i="2"/>
  <c r="R434" i="2"/>
  <c r="Q473" i="2"/>
  <c r="Q472" i="2"/>
  <c r="Q475" i="2"/>
  <c r="R555" i="2"/>
  <c r="R554" i="2"/>
  <c r="R34" i="2"/>
  <c r="R473" i="2"/>
  <c r="R472" i="2"/>
  <c r="R475" i="2"/>
  <c r="R474" i="2"/>
  <c r="Q72" i="2"/>
  <c r="Q494" i="2" s="1"/>
  <c r="Q496" i="2" s="1"/>
  <c r="R102" i="2"/>
  <c r="Q551" i="2"/>
  <c r="Q554" i="2" s="1"/>
  <c r="Q143" i="2"/>
  <c r="Q557" i="2" s="1"/>
  <c r="Q474" i="2"/>
  <c r="Q593" i="2"/>
  <c r="Q768" i="2"/>
  <c r="Q767" i="2"/>
  <c r="Q122" i="2"/>
  <c r="Q538" i="2" s="1"/>
  <c r="Q537" i="2"/>
  <c r="Q617" i="2"/>
  <c r="Q607" i="2"/>
  <c r="Q434" i="2"/>
  <c r="Q491" i="2"/>
  <c r="Q558" i="2"/>
  <c r="Q511" i="2"/>
  <c r="R180" i="2"/>
  <c r="R591" i="2" s="1"/>
  <c r="R590" i="2"/>
  <c r="Q596" i="2"/>
  <c r="Q187" i="2"/>
  <c r="Q597" i="2" s="1"/>
  <c r="R250" i="2"/>
  <c r="R645" i="2" s="1"/>
  <c r="R339" i="2"/>
  <c r="R735" i="2" s="1"/>
  <c r="Q438" i="2"/>
  <c r="Q466" i="2"/>
  <c r="R483" i="2"/>
  <c r="Q665" i="2"/>
  <c r="Q465" i="2"/>
  <c r="Q464" i="2"/>
  <c r="R65" i="2"/>
  <c r="R488" i="2" s="1"/>
  <c r="R511" i="2"/>
  <c r="R510" i="2"/>
  <c r="R688" i="2"/>
  <c r="R289" i="2"/>
  <c r="R689" i="2" s="1"/>
  <c r="Q510" i="2"/>
  <c r="Q594" i="2"/>
  <c r="Q644" i="2"/>
  <c r="R665" i="2"/>
  <c r="Q513" i="2"/>
  <c r="Q512" i="2"/>
  <c r="Q515" i="2"/>
  <c r="Q561" i="2"/>
  <c r="Q564" i="2"/>
  <c r="Q560" i="2"/>
  <c r="Q556" i="2"/>
  <c r="Q563" i="2"/>
  <c r="Q559" i="2"/>
  <c r="Q572" i="2"/>
  <c r="Q160" i="2"/>
  <c r="Q573" i="2" s="1"/>
  <c r="Q514" i="2"/>
  <c r="Q686" i="2"/>
  <c r="Q737" i="2"/>
  <c r="R168" i="2"/>
  <c r="R170" i="2" s="1"/>
  <c r="R582" i="2" s="1"/>
  <c r="R574" i="2"/>
  <c r="R677" i="2"/>
  <c r="R277" i="2"/>
  <c r="R679" i="2" s="1"/>
  <c r="Q330" i="2"/>
  <c r="Q723" i="2" s="1"/>
  <c r="Q741" i="2"/>
  <c r="Q351" i="2"/>
  <c r="Q358" i="2" s="1"/>
  <c r="Q752" i="2" s="1"/>
  <c r="Q757" i="2" s="1"/>
  <c r="Q457" i="2"/>
  <c r="Q770" i="2"/>
  <c r="Q823" i="2"/>
  <c r="Q171" i="2"/>
  <c r="R178" i="2"/>
  <c r="R210" i="2"/>
  <c r="R211" i="2" s="1"/>
  <c r="R218" i="2" s="1"/>
  <c r="Q250" i="2"/>
  <c r="Q647" i="2" s="1"/>
  <c r="Q289" i="2"/>
  <c r="R446" i="2"/>
  <c r="R458" i="2"/>
  <c r="R482" i="2"/>
  <c r="R502" i="2"/>
  <c r="R558" i="2"/>
  <c r="R562" i="2"/>
  <c r="R586" i="2"/>
  <c r="R686" i="2"/>
  <c r="R698" i="2"/>
  <c r="R702" i="2"/>
  <c r="R710" i="2"/>
  <c r="R714" i="2"/>
  <c r="R762" i="2"/>
  <c r="R768" i="2" s="1"/>
  <c r="R770" i="2"/>
  <c r="R774" i="2"/>
  <c r="R782" i="2"/>
  <c r="R786" i="2"/>
  <c r="R790" i="2"/>
  <c r="R794" i="2"/>
  <c r="R798" i="2"/>
  <c r="Q771" i="2"/>
  <c r="Q775" i="2"/>
  <c r="Q783" i="2"/>
  <c r="Q787" i="2"/>
  <c r="Q791" i="2"/>
  <c r="Q795" i="2"/>
  <c r="Q104" i="2"/>
  <c r="Q518" i="2" s="1"/>
  <c r="R128" i="2"/>
  <c r="R536" i="2" s="1"/>
  <c r="R143" i="2"/>
  <c r="R557" i="2" s="1"/>
  <c r="R160" i="2"/>
  <c r="R573" i="2" s="1"/>
  <c r="R577" i="2" s="1"/>
  <c r="R330" i="2"/>
  <c r="R725" i="2" s="1"/>
  <c r="R343" i="2"/>
  <c r="R559" i="2"/>
  <c r="R563" i="2"/>
  <c r="R579" i="2"/>
  <c r="R587" i="2"/>
  <c r="R643" i="2"/>
  <c r="R667" i="2"/>
  <c r="R691" i="2"/>
  <c r="R699" i="2"/>
  <c r="R703" i="2"/>
  <c r="R707" i="2"/>
  <c r="R711" i="2"/>
  <c r="R731" i="2"/>
  <c r="R767" i="2"/>
  <c r="R771" i="2"/>
  <c r="R775" i="2"/>
  <c r="R783" i="2"/>
  <c r="R787" i="2"/>
  <c r="R791" i="2"/>
  <c r="R795" i="2"/>
  <c r="Q580" i="2"/>
  <c r="Q652" i="2"/>
  <c r="Q680" i="2"/>
  <c r="Q756" i="2"/>
  <c r="Q772" i="2"/>
  <c r="Q776" i="2"/>
  <c r="Q780" i="2"/>
  <c r="Q784" i="2"/>
  <c r="Q792" i="2"/>
  <c r="Q796" i="2"/>
  <c r="Q265" i="2"/>
  <c r="Q668" i="2" s="1"/>
  <c r="Q673" i="2" s="1"/>
  <c r="R556" i="2"/>
  <c r="R560" i="2"/>
  <c r="R564" i="2"/>
  <c r="R580" i="2"/>
  <c r="R696" i="2"/>
  <c r="R700" i="2"/>
  <c r="R708" i="2"/>
  <c r="R712" i="2"/>
  <c r="R772" i="2"/>
  <c r="R776" i="2"/>
  <c r="R780" i="2"/>
  <c r="R784" i="2"/>
  <c r="R792" i="2"/>
  <c r="R796" i="2"/>
  <c r="Q227" i="2"/>
  <c r="Q634" i="2" s="1"/>
  <c r="Q637" i="2" s="1"/>
  <c r="Q645" i="2"/>
  <c r="Q649" i="2"/>
  <c r="Q769" i="2"/>
  <c r="Q773" i="2"/>
  <c r="Q781" i="2"/>
  <c r="Q793" i="2"/>
  <c r="R227" i="2"/>
  <c r="R634" i="2" s="1"/>
  <c r="R636" i="2" s="1"/>
  <c r="R581" i="2"/>
  <c r="R697" i="2"/>
  <c r="R709" i="2"/>
  <c r="R769" i="2"/>
  <c r="R773" i="2"/>
  <c r="R781" i="2"/>
  <c r="R793" i="2"/>
  <c r="N320" i="2"/>
  <c r="P8" i="2"/>
  <c r="N41" i="2"/>
  <c r="N381" i="2"/>
  <c r="P148" i="2"/>
  <c r="P102" i="2"/>
  <c r="P158" i="2"/>
  <c r="P231" i="2"/>
  <c r="P151" i="2"/>
  <c r="N233" i="2"/>
  <c r="P287" i="2"/>
  <c r="N289" i="2"/>
  <c r="P335" i="2"/>
  <c r="P337" i="2" s="1"/>
  <c r="N370" i="2"/>
  <c r="P397" i="2"/>
  <c r="P234" i="2"/>
  <c r="P235" i="2" s="1"/>
  <c r="P248" i="2"/>
  <c r="P32" i="2"/>
  <c r="P152" i="2"/>
  <c r="P153" i="2" s="1"/>
  <c r="P276" i="2"/>
  <c r="N338" i="2"/>
  <c r="N339" i="2" s="1"/>
  <c r="P128" i="2"/>
  <c r="N277" i="2"/>
  <c r="N411" i="2"/>
  <c r="P52" i="2"/>
  <c r="P53" i="2" s="1"/>
  <c r="P120" i="2"/>
  <c r="P144" i="2"/>
  <c r="P145" i="2" s="1"/>
  <c r="P159" i="2"/>
  <c r="P242" i="2"/>
  <c r="P264" i="2"/>
  <c r="P357" i="2"/>
  <c r="P369" i="2"/>
  <c r="P377" i="2"/>
  <c r="P381" i="2" s="1"/>
  <c r="P9" i="2"/>
  <c r="P10" i="2" s="1"/>
  <c r="P288" i="2"/>
  <c r="P71" i="2"/>
  <c r="P103" i="2"/>
  <c r="P121" i="2"/>
  <c r="P122" i="2" s="1"/>
  <c r="N151" i="2"/>
  <c r="P168" i="2"/>
  <c r="P171" i="2" s="1"/>
  <c r="P172" i="2" s="1"/>
  <c r="P186" i="2"/>
  <c r="N294" i="2"/>
  <c r="P20" i="2"/>
  <c r="P64" i="2"/>
  <c r="P65" i="2" s="1"/>
  <c r="P109" i="2"/>
  <c r="P185" i="2"/>
  <c r="P225" i="2"/>
  <c r="N250" i="2"/>
  <c r="P329" i="2"/>
  <c r="P330" i="2" s="1"/>
  <c r="P33" i="2"/>
  <c r="P34" i="2" s="1"/>
  <c r="P95" i="2"/>
  <c r="N170" i="2"/>
  <c r="P198" i="2"/>
  <c r="P199" i="2" s="1"/>
  <c r="P217" i="2"/>
  <c r="P319" i="2"/>
  <c r="N380" i="2"/>
  <c r="N382" i="2" s="1"/>
  <c r="N388" i="2" s="1"/>
  <c r="P409" i="2"/>
  <c r="P21" i="2"/>
  <c r="P22" i="2" s="1"/>
  <c r="P84" i="2"/>
  <c r="P85" i="2" s="1"/>
  <c r="N179" i="2"/>
  <c r="N180" i="2" s="1"/>
  <c r="N187" i="2" s="1"/>
  <c r="P208" i="2"/>
  <c r="P209" i="2" s="1"/>
  <c r="P226" i="2"/>
  <c r="P227" i="2" s="1"/>
  <c r="P306" i="2"/>
  <c r="P368" i="2"/>
  <c r="P386" i="2"/>
  <c r="P40" i="2"/>
  <c r="P41" i="2" s="1"/>
  <c r="P96" i="2"/>
  <c r="P97" i="2" s="1"/>
  <c r="N209" i="2"/>
  <c r="P258" i="2"/>
  <c r="P259" i="2" s="1"/>
  <c r="P356" i="2"/>
  <c r="P398" i="2"/>
  <c r="N399" i="2"/>
  <c r="N265" i="2"/>
  <c r="P295" i="2"/>
  <c r="N160" i="2"/>
  <c r="N104" i="2"/>
  <c r="N110" i="2" s="1"/>
  <c r="X314" i="1"/>
  <c r="P39" i="2"/>
  <c r="P83" i="2"/>
  <c r="N178" i="2"/>
  <c r="P197" i="2"/>
  <c r="P233" i="2"/>
  <c r="P275" i="2"/>
  <c r="P277" i="2" s="1"/>
  <c r="P294" i="2"/>
  <c r="P346" i="2"/>
  <c r="P216" i="2"/>
  <c r="P249" i="2"/>
  <c r="P263" i="2"/>
  <c r="P307" i="2"/>
  <c r="N343" i="2"/>
  <c r="P387" i="2"/>
  <c r="P243" i="2"/>
  <c r="P244" i="2" s="1"/>
  <c r="P63" i="2"/>
  <c r="P129" i="2"/>
  <c r="P130" i="2" s="1"/>
  <c r="P143" i="2"/>
  <c r="P173" i="2"/>
  <c r="P257" i="2"/>
  <c r="P318" i="2"/>
  <c r="P410" i="2"/>
  <c r="P51" i="2"/>
  <c r="P70" i="2"/>
  <c r="N295" i="2"/>
  <c r="P328" i="2"/>
  <c r="P108" i="2"/>
  <c r="X41" i="1"/>
  <c r="X74" i="1"/>
  <c r="X106" i="1"/>
  <c r="X188" i="1"/>
  <c r="X197" i="1"/>
  <c r="X228" i="1"/>
  <c r="X337" i="1"/>
  <c r="X338" i="1" s="1"/>
  <c r="X336" i="1"/>
  <c r="X358" i="1"/>
  <c r="X359" i="1"/>
  <c r="X360" i="1" s="1"/>
  <c r="X378" i="1"/>
  <c r="X407" i="1"/>
  <c r="X283" i="1"/>
  <c r="T169" i="1"/>
  <c r="P267" i="1"/>
  <c r="R197" i="1"/>
  <c r="P65" i="1"/>
  <c r="U106" i="1"/>
  <c r="T106" i="1"/>
  <c r="P20" i="1"/>
  <c r="R378" i="1"/>
  <c r="P66" i="1"/>
  <c r="P67" i="1" s="1"/>
  <c r="S169" i="1"/>
  <c r="T378" i="1"/>
  <c r="U41" i="1"/>
  <c r="P190" i="1"/>
  <c r="R228" i="1"/>
  <c r="R74" i="1"/>
  <c r="S407" i="1"/>
  <c r="U283" i="1"/>
  <c r="P129" i="1"/>
  <c r="P131" i="1" s="1"/>
  <c r="P34" i="1"/>
  <c r="R106" i="1"/>
  <c r="S228" i="1"/>
  <c r="P266" i="1"/>
  <c r="P268" i="1" s="1"/>
  <c r="P405" i="1"/>
  <c r="P407" i="1" s="1"/>
  <c r="R41" i="1"/>
  <c r="U169" i="1"/>
  <c r="P219" i="1"/>
  <c r="R283" i="1"/>
  <c r="P21" i="1"/>
  <c r="P39" i="1"/>
  <c r="P41" i="1" s="1"/>
  <c r="S106" i="1"/>
  <c r="S138" i="1"/>
  <c r="S139" i="1" s="1"/>
  <c r="P281" i="1"/>
  <c r="P283" i="1" s="1"/>
  <c r="R281" i="1"/>
  <c r="R20" i="1"/>
  <c r="S39" i="1"/>
  <c r="P104" i="1"/>
  <c r="P106" i="1" s="1"/>
  <c r="U197" i="1"/>
  <c r="P168" i="1"/>
  <c r="P169" i="1" s="1"/>
  <c r="S197" i="1"/>
  <c r="R226" i="1"/>
  <c r="P370" i="1"/>
  <c r="P371" i="1" s="1"/>
  <c r="U378" i="1"/>
  <c r="R407" i="1"/>
  <c r="P117" i="1"/>
  <c r="P119" i="1" s="1"/>
  <c r="P195" i="1"/>
  <c r="P197" i="1" s="1"/>
  <c r="T197" i="1"/>
  <c r="R195" i="1"/>
  <c r="P245" i="1"/>
  <c r="P247" i="1" s="1"/>
  <c r="P312" i="1"/>
  <c r="P314" i="1" s="1"/>
  <c r="R405" i="1"/>
  <c r="S41" i="1"/>
  <c r="P98" i="1"/>
  <c r="P138" i="1"/>
  <c r="P139" i="1" s="1"/>
  <c r="P161" i="1"/>
  <c r="P162" i="1" s="1"/>
  <c r="S195" i="1"/>
  <c r="P220" i="1"/>
  <c r="P221" i="1" s="1"/>
  <c r="P276" i="1"/>
  <c r="P277" i="1" s="1"/>
  <c r="T283" i="1"/>
  <c r="P325" i="1"/>
  <c r="P326" i="1" s="1"/>
  <c r="P179" i="1"/>
  <c r="P180" i="1"/>
  <c r="T228" i="1"/>
  <c r="P399" i="1"/>
  <c r="P400" i="1"/>
  <c r="U228" i="1"/>
  <c r="S74" i="1"/>
  <c r="R314" i="1"/>
  <c r="T407" i="1"/>
  <c r="T74" i="1"/>
  <c r="P306" i="1"/>
  <c r="P305" i="1"/>
  <c r="S314" i="1"/>
  <c r="P376" i="1"/>
  <c r="P377" i="1"/>
  <c r="U407" i="1"/>
  <c r="U74" i="1"/>
  <c r="R169" i="1"/>
  <c r="T314" i="1"/>
  <c r="P417" i="1"/>
  <c r="P416" i="1"/>
  <c r="U314" i="1"/>
  <c r="T41" i="1"/>
  <c r="P72" i="1"/>
  <c r="P74" i="1" s="1"/>
  <c r="P85" i="1"/>
  <c r="P87" i="1" s="1"/>
  <c r="P226" i="1"/>
  <c r="P228" i="1" s="1"/>
  <c r="P234" i="1"/>
  <c r="P236" i="1" s="1"/>
  <c r="P255" i="1"/>
  <c r="P256" i="1" s="1"/>
  <c r="P336" i="1"/>
  <c r="P338" i="1" s="1"/>
  <c r="P428" i="1"/>
  <c r="P430" i="1" s="1"/>
  <c r="P97" i="1"/>
  <c r="R255" i="1"/>
  <c r="R256" i="1" s="1"/>
  <c r="P346" i="1"/>
  <c r="P348" i="1" s="1"/>
  <c r="P355" i="1"/>
  <c r="P359" i="1" s="1"/>
  <c r="P389" i="1"/>
  <c r="P390" i="1" s="1"/>
  <c r="R347" i="1"/>
  <c r="R348" i="1" s="1"/>
  <c r="P147" i="1"/>
  <c r="P153" i="1" s="1"/>
  <c r="P7" i="1"/>
  <c r="P9" i="1" s="1"/>
  <c r="P208" i="1"/>
  <c r="P209" i="1" s="1"/>
  <c r="P294" i="1"/>
  <c r="P295" i="1" s="1"/>
  <c r="P54" i="1"/>
  <c r="P55" i="1" s="1"/>
  <c r="Y228" i="1"/>
  <c r="Y378" i="1"/>
  <c r="Y106" i="1"/>
  <c r="Y197" i="1"/>
  <c r="Y267" i="1"/>
  <c r="Y268" i="1" s="1"/>
  <c r="Y169" i="1"/>
  <c r="Y283" i="1"/>
  <c r="Y41" i="1"/>
  <c r="Y314" i="1"/>
  <c r="Y74" i="1"/>
  <c r="Y407" i="1"/>
  <c r="Y110" i="1"/>
  <c r="Y266" i="1"/>
  <c r="V400" i="1"/>
  <c r="V401" i="1" s="1"/>
  <c r="W54" i="1"/>
  <c r="W55" i="1" s="1"/>
  <c r="V237" i="1"/>
  <c r="V238" i="1" s="1"/>
  <c r="V227" i="1"/>
  <c r="V228" i="1" s="1"/>
  <c r="V313" i="1"/>
  <c r="V314" i="1" s="1"/>
  <c r="V377" i="1"/>
  <c r="V378" i="1" s="1"/>
  <c r="W33" i="1"/>
  <c r="W34" i="1" s="1"/>
  <c r="V208" i="1"/>
  <c r="V209" i="1" s="1"/>
  <c r="V267" i="1"/>
  <c r="V268" i="1" s="1"/>
  <c r="V72" i="1"/>
  <c r="V168" i="1"/>
  <c r="V169" i="1" s="1"/>
  <c r="V306" i="1"/>
  <c r="V307" i="1" s="1"/>
  <c r="V337" i="1"/>
  <c r="V338" i="1" s="1"/>
  <c r="V429" i="1"/>
  <c r="V430" i="1" s="1"/>
  <c r="V236" i="1"/>
  <c r="V325" i="1"/>
  <c r="V326" i="1" s="1"/>
  <c r="V347" i="1"/>
  <c r="V348" i="1" s="1"/>
  <c r="V376" i="1"/>
  <c r="V336" i="1"/>
  <c r="V417" i="1"/>
  <c r="V418" i="1" s="1"/>
  <c r="V40" i="1"/>
  <c r="V41" i="1" s="1"/>
  <c r="V255" i="1"/>
  <c r="V256" i="1" s="1"/>
  <c r="V294" i="1"/>
  <c r="V295" i="1" s="1"/>
  <c r="V399" i="1"/>
  <c r="V86" i="1"/>
  <c r="V87" i="1" s="1"/>
  <c r="V73" i="1"/>
  <c r="V74" i="1" s="1"/>
  <c r="V305" i="1"/>
  <c r="W8" i="1"/>
  <c r="W40" i="1"/>
  <c r="W41" i="1" s="1"/>
  <c r="W73" i="1"/>
  <c r="W74" i="1" s="1"/>
  <c r="W118" i="1"/>
  <c r="W119" i="1" s="1"/>
  <c r="W152" i="1"/>
  <c r="W226" i="1"/>
  <c r="W293" i="1"/>
  <c r="W325" i="1"/>
  <c r="W326" i="1" s="1"/>
  <c r="V85" i="1"/>
  <c r="V346" i="1"/>
  <c r="W9" i="1"/>
  <c r="W10" i="1" s="1"/>
  <c r="W85" i="1"/>
  <c r="W336" i="1"/>
  <c r="W20" i="1"/>
  <c r="W53" i="1"/>
  <c r="W86" i="1"/>
  <c r="W87" i="1" s="1"/>
  <c r="W129" i="1"/>
  <c r="W160" i="1"/>
  <c r="W236" i="1"/>
  <c r="W275" i="1"/>
  <c r="W405" i="1"/>
  <c r="V254" i="1"/>
  <c r="V312" i="1"/>
  <c r="W97" i="1"/>
  <c r="W305" i="1"/>
  <c r="W346" i="1"/>
  <c r="W376" i="1"/>
  <c r="V226" i="1"/>
  <c r="V416" i="1"/>
  <c r="W32" i="1"/>
  <c r="W167" i="1"/>
  <c r="W245" i="1"/>
  <c r="W377" i="1"/>
  <c r="W378" i="1" s="1"/>
  <c r="V167" i="1"/>
  <c r="V266" i="1"/>
  <c r="V293" i="1"/>
  <c r="V324" i="1"/>
  <c r="W65" i="1"/>
  <c r="W137" i="1"/>
  <c r="W281" i="1"/>
  <c r="W312" i="1"/>
  <c r="V39" i="1"/>
  <c r="V207" i="1"/>
  <c r="V428" i="1"/>
  <c r="W179" i="1"/>
  <c r="W388" i="1"/>
  <c r="W428" i="1"/>
  <c r="V125" i="1"/>
  <c r="V129" i="1" s="1"/>
  <c r="V193" i="1"/>
  <c r="V196" i="1" s="1"/>
  <c r="V197" i="1" s="1"/>
  <c r="V216" i="1"/>
  <c r="V220" i="1" s="1"/>
  <c r="V221" i="1" s="1"/>
  <c r="V158" i="1"/>
  <c r="V161" i="1" s="1"/>
  <c r="V162" i="1" s="1"/>
  <c r="V133" i="1"/>
  <c r="V138" i="1" s="1"/>
  <c r="V139" i="1" s="1"/>
  <c r="V146" i="1"/>
  <c r="V153" i="1" s="1"/>
  <c r="V154" i="1" s="1"/>
  <c r="V89" i="1"/>
  <c r="V44" i="1"/>
  <c r="V54" i="1" s="1"/>
  <c r="V55" i="1" s="1"/>
  <c r="V272" i="1"/>
  <c r="V276" i="1" s="1"/>
  <c r="V277" i="1" s="1"/>
  <c r="V100" i="1"/>
  <c r="W206" i="1"/>
  <c r="V30" i="1"/>
  <c r="V33" i="1" s="1"/>
  <c r="V34" i="1" s="1"/>
  <c r="V172" i="1"/>
  <c r="V180" i="1" s="1"/>
  <c r="V181" i="1" s="1"/>
  <c r="V278" i="1"/>
  <c r="V365" i="1"/>
  <c r="V370" i="1" s="1"/>
  <c r="V371" i="1" s="1"/>
  <c r="V380" i="1"/>
  <c r="V389" i="1" s="1"/>
  <c r="V390" i="1" s="1"/>
  <c r="V94" i="1"/>
  <c r="V62" i="1"/>
  <c r="V65" i="1" s="1"/>
  <c r="V185" i="1"/>
  <c r="V189" i="1" s="1"/>
  <c r="V190" i="1" s="1"/>
  <c r="V3" i="1"/>
  <c r="V15" i="1"/>
  <c r="V21" i="1" s="1"/>
  <c r="V22" i="1" s="1"/>
  <c r="V241" i="1"/>
  <c r="V245" i="1" s="1"/>
  <c r="V352" i="1"/>
  <c r="V359" i="1" s="1"/>
  <c r="V360" i="1" s="1"/>
  <c r="V402" i="1"/>
  <c r="W393" i="1"/>
  <c r="Q369" i="1"/>
  <c r="Q389" i="1"/>
  <c r="Q390" i="1" s="1"/>
  <c r="Q104" i="1"/>
  <c r="Q53" i="1"/>
  <c r="Q195" i="1"/>
  <c r="Q255" i="1"/>
  <c r="Q256" i="1" s="1"/>
  <c r="Q179" i="1"/>
  <c r="Q137" i="1"/>
  <c r="Q138" i="1"/>
  <c r="Q139" i="1" s="1"/>
  <c r="Q359" i="1"/>
  <c r="Q360" i="1" s="1"/>
  <c r="Q9" i="1"/>
  <c r="Q10" i="1" s="1"/>
  <c r="Q33" i="1"/>
  <c r="Q34" i="1" s="1"/>
  <c r="Q161" i="1"/>
  <c r="Q162" i="1" s="1"/>
  <c r="Q246" i="1"/>
  <c r="Q247" i="1" s="1"/>
  <c r="Q282" i="1"/>
  <c r="Q283" i="1" s="1"/>
  <c r="Q406" i="1"/>
  <c r="Q407" i="1" s="1"/>
  <c r="Q129" i="1"/>
  <c r="Q188" i="1"/>
  <c r="Q20" i="1"/>
  <c r="Q66" i="1"/>
  <c r="Q67" i="1" s="1"/>
  <c r="Q152" i="1"/>
  <c r="Q275" i="1"/>
  <c r="Q254" i="1"/>
  <c r="Q97" i="1"/>
  <c r="Q114" i="1"/>
  <c r="Q219" i="1"/>
  <c r="N105" i="3" l="1"/>
  <c r="N230" i="3"/>
  <c r="N231" i="3" s="1"/>
  <c r="N250" i="3"/>
  <c r="N251" i="3" s="1"/>
  <c r="N249" i="3"/>
  <c r="N128" i="3"/>
  <c r="N129" i="3" s="1"/>
  <c r="M364" i="3"/>
  <c r="M262" i="3"/>
  <c r="M263" i="3" s="1"/>
  <c r="N364" i="3"/>
  <c r="N260" i="3"/>
  <c r="N262" i="3" s="1"/>
  <c r="N263" i="3" s="1"/>
  <c r="M229" i="3"/>
  <c r="Q648" i="2"/>
  <c r="O289" i="2"/>
  <c r="Q651" i="2"/>
  <c r="Q681" i="2"/>
  <c r="Q543" i="2"/>
  <c r="P338" i="2"/>
  <c r="Q622" i="2"/>
  <c r="Q623" i="2"/>
  <c r="Q620" i="2"/>
  <c r="Q624" i="2"/>
  <c r="P399" i="2"/>
  <c r="R693" i="2"/>
  <c r="Q719" i="2"/>
  <c r="Q615" i="2"/>
  <c r="Q544" i="2"/>
  <c r="R490" i="2"/>
  <c r="Q611" i="2"/>
  <c r="R520" i="2"/>
  <c r="R187" i="2"/>
  <c r="R597" i="2" s="1"/>
  <c r="R604" i="2" s="1"/>
  <c r="Q725" i="2"/>
  <c r="Q608" i="2"/>
  <c r="Q606" i="2"/>
  <c r="R519" i="2"/>
  <c r="Q616" i="2"/>
  <c r="M34" i="2"/>
  <c r="R518" i="2"/>
  <c r="Q612" i="2"/>
  <c r="Q739" i="2"/>
  <c r="R265" i="2"/>
  <c r="R668" i="2" s="1"/>
  <c r="Q609" i="2"/>
  <c r="Q610" i="2"/>
  <c r="P320" i="2"/>
  <c r="P160" i="2"/>
  <c r="Q744" i="2"/>
  <c r="Q614" i="2"/>
  <c r="Q613" i="2"/>
  <c r="M382" i="2"/>
  <c r="O382" i="2"/>
  <c r="O388" i="2" s="1"/>
  <c r="O296" i="2"/>
  <c r="O32" i="2"/>
  <c r="O351" i="2"/>
  <c r="O358" i="2" s="1"/>
  <c r="M8" i="2"/>
  <c r="M10" i="2" s="1"/>
  <c r="O33" i="2"/>
  <c r="O34" i="2" s="1"/>
  <c r="O41" i="2" s="1"/>
  <c r="O368" i="2"/>
  <c r="O370" i="2" s="1"/>
  <c r="O265" i="2"/>
  <c r="M320" i="2"/>
  <c r="R718" i="2"/>
  <c r="Q740" i="2"/>
  <c r="Q715" i="2"/>
  <c r="P289" i="2"/>
  <c r="Q674" i="2"/>
  <c r="P339" i="2"/>
  <c r="Q621" i="2"/>
  <c r="Q720" i="2"/>
  <c r="R646" i="2"/>
  <c r="Q724" i="2"/>
  <c r="Q721" i="2"/>
  <c r="R614" i="2"/>
  <c r="R724" i="2"/>
  <c r="R738" i="2"/>
  <c r="Q743" i="2"/>
  <c r="Q717" i="2"/>
  <c r="R694" i="2"/>
  <c r="R608" i="2"/>
  <c r="R723" i="2"/>
  <c r="Q495" i="2"/>
  <c r="R719" i="2"/>
  <c r="Q605" i="2"/>
  <c r="R296" i="2"/>
  <c r="R695" i="2" s="1"/>
  <c r="R705" i="2" s="1"/>
  <c r="R613" i="2"/>
  <c r="R716" i="2"/>
  <c r="R737" i="2"/>
  <c r="R681" i="2"/>
  <c r="R651" i="2"/>
  <c r="R721" i="2"/>
  <c r="Q636" i="2"/>
  <c r="R539" i="2"/>
  <c r="R649" i="2"/>
  <c r="R720" i="2"/>
  <c r="R717" i="2"/>
  <c r="Q800" i="2"/>
  <c r="R722" i="2"/>
  <c r="Q578" i="2"/>
  <c r="R606" i="2"/>
  <c r="R620" i="2"/>
  <c r="R624" i="2"/>
  <c r="R623" i="2"/>
  <c r="R621" i="2"/>
  <c r="R622" i="2"/>
  <c r="R532" i="2"/>
  <c r="R533" i="2"/>
  <c r="R779" i="2"/>
  <c r="R778" i="2"/>
  <c r="R800" i="2"/>
  <c r="R799" i="2"/>
  <c r="Q172" i="2"/>
  <c r="Q584" i="2" s="1"/>
  <c r="Q583" i="2"/>
  <c r="Q110" i="2"/>
  <c r="Q527" i="2" s="1"/>
  <c r="R538" i="2"/>
  <c r="R491" i="2"/>
  <c r="R650" i="2"/>
  <c r="R653" i="2"/>
  <c r="R612" i="2"/>
  <c r="R461" i="2"/>
  <c r="R41" i="2"/>
  <c r="R467" i="2" s="1"/>
  <c r="R789" i="2"/>
  <c r="R788" i="2"/>
  <c r="Q789" i="2"/>
  <c r="Q788" i="2"/>
  <c r="Q517" i="2"/>
  <c r="Q516" i="2"/>
  <c r="R616" i="2"/>
  <c r="R537" i="2"/>
  <c r="Q440" i="2"/>
  <c r="Q439" i="2"/>
  <c r="R637" i="2"/>
  <c r="R440" i="2"/>
  <c r="R439" i="2"/>
  <c r="R452" i="2"/>
  <c r="R451" i="2"/>
  <c r="Q742" i="2"/>
  <c r="Q779" i="2"/>
  <c r="Q778" i="2"/>
  <c r="Q625" i="2"/>
  <c r="Q626" i="2"/>
  <c r="R541" i="2"/>
  <c r="R540" i="2"/>
  <c r="R535" i="2"/>
  <c r="R542" i="2"/>
  <c r="R534" i="2"/>
  <c r="R578" i="2"/>
  <c r="Q577" i="2"/>
  <c r="Q565" i="2"/>
  <c r="Q566" i="2"/>
  <c r="Q799" i="2"/>
  <c r="Q471" i="2"/>
  <c r="Q470" i="2"/>
  <c r="R647" i="2"/>
  <c r="R610" i="2"/>
  <c r="R609" i="2"/>
  <c r="Q520" i="2"/>
  <c r="R680" i="2"/>
  <c r="R565" i="2"/>
  <c r="R566" i="2"/>
  <c r="Q689" i="2"/>
  <c r="Q296" i="2"/>
  <c r="Q695" i="2" s="1"/>
  <c r="R72" i="2"/>
  <c r="R494" i="2" s="1"/>
  <c r="Q650" i="2"/>
  <c r="Q646" i="2"/>
  <c r="R715" i="2"/>
  <c r="R171" i="2"/>
  <c r="R648" i="2"/>
  <c r="R607" i="2"/>
  <c r="R617" i="2"/>
  <c r="Q718" i="2"/>
  <c r="Q653" i="2"/>
  <c r="Q722" i="2"/>
  <c r="R517" i="2"/>
  <c r="R516" i="2"/>
  <c r="R593" i="2"/>
  <c r="R594" i="2"/>
  <c r="R673" i="2"/>
  <c r="R674" i="2"/>
  <c r="R349" i="2"/>
  <c r="R350" i="2"/>
  <c r="Q519" i="2"/>
  <c r="R652" i="2"/>
  <c r="R611" i="2"/>
  <c r="Q555" i="2"/>
  <c r="Q604" i="2"/>
  <c r="Q477" i="2"/>
  <c r="Q476" i="2"/>
  <c r="R615" i="2"/>
  <c r="R477" i="2"/>
  <c r="R476" i="2"/>
  <c r="Q452" i="2"/>
  <c r="Q451" i="2"/>
  <c r="P308" i="2"/>
  <c r="P170" i="2"/>
  <c r="P72" i="2"/>
  <c r="P411" i="2"/>
  <c r="P380" i="2"/>
  <c r="P382" i="2" s="1"/>
  <c r="P388" i="2" s="1"/>
  <c r="N296" i="2"/>
  <c r="P210" i="2"/>
  <c r="P211" i="2" s="1"/>
  <c r="P218" i="2" s="1"/>
  <c r="P104" i="2"/>
  <c r="P110" i="2" s="1"/>
  <c r="P370" i="2"/>
  <c r="P265" i="2"/>
  <c r="P179" i="2"/>
  <c r="P180" i="2" s="1"/>
  <c r="P187" i="2" s="1"/>
  <c r="P178" i="2"/>
  <c r="P250" i="2"/>
  <c r="P296" i="2"/>
  <c r="N350" i="2"/>
  <c r="N349" i="2"/>
  <c r="P343" i="2"/>
  <c r="P378" i="1"/>
  <c r="P22" i="1"/>
  <c r="P99" i="1"/>
  <c r="P181" i="1"/>
  <c r="P307" i="1"/>
  <c r="P401" i="1"/>
  <c r="P152" i="1"/>
  <c r="P154" i="1" s="1"/>
  <c r="P358" i="1"/>
  <c r="P360" i="1" s="1"/>
  <c r="P418" i="1"/>
  <c r="P237" i="1"/>
  <c r="P238" i="1" s="1"/>
  <c r="P8" i="1"/>
  <c r="P10" i="1" s="1"/>
  <c r="Y118" i="1"/>
  <c r="Y119" i="1" s="1"/>
  <c r="Y117" i="1"/>
  <c r="V137" i="1"/>
  <c r="V369" i="1"/>
  <c r="V358" i="1"/>
  <c r="V388" i="1"/>
  <c r="V152" i="1"/>
  <c r="V66" i="1"/>
  <c r="V67" i="1" s="1"/>
  <c r="V53" i="1"/>
  <c r="V130" i="1"/>
  <c r="V131" i="1" s="1"/>
  <c r="V195" i="1"/>
  <c r="V20" i="1"/>
  <c r="V98" i="1"/>
  <c r="V99" i="1" s="1"/>
  <c r="V179" i="1"/>
  <c r="V275" i="1"/>
  <c r="V105" i="1"/>
  <c r="V106" i="1" s="1"/>
  <c r="V104" i="1"/>
  <c r="W400" i="1"/>
  <c r="W401" i="1" s="1"/>
  <c r="W399" i="1"/>
  <c r="V406" i="1"/>
  <c r="V407" i="1" s="1"/>
  <c r="V405" i="1"/>
  <c r="V32" i="1"/>
  <c r="V160" i="1"/>
  <c r="V219" i="1"/>
  <c r="V282" i="1"/>
  <c r="V283" i="1" s="1"/>
  <c r="V281" i="1"/>
  <c r="V97" i="1"/>
  <c r="V188" i="1"/>
  <c r="V246" i="1"/>
  <c r="V247" i="1" s="1"/>
  <c r="V9" i="1"/>
  <c r="V10" i="1" s="1"/>
  <c r="V8" i="1"/>
  <c r="W208" i="1"/>
  <c r="W209" i="1" s="1"/>
  <c r="W207" i="1"/>
  <c r="Q118" i="1"/>
  <c r="Q119" i="1" s="1"/>
  <c r="V114" i="1"/>
  <c r="Q117" i="1"/>
  <c r="N261" i="3" l="1"/>
  <c r="R521" i="2"/>
  <c r="Q618" i="2"/>
  <c r="Q745" i="2"/>
  <c r="R522" i="2"/>
  <c r="R605" i="2"/>
  <c r="Q619" i="2"/>
  <c r="Q655" i="2"/>
  <c r="Q521" i="2"/>
  <c r="R704" i="2"/>
  <c r="Q746" i="2"/>
  <c r="R727" i="2"/>
  <c r="R654" i="2"/>
  <c r="R726" i="2"/>
  <c r="R655" i="2"/>
  <c r="Q726" i="2"/>
  <c r="Q654" i="2"/>
  <c r="Q522" i="2"/>
  <c r="R619" i="2"/>
  <c r="Q727" i="2"/>
  <c r="R471" i="2"/>
  <c r="R470" i="2"/>
  <c r="Q588" i="2"/>
  <c r="Q589" i="2"/>
  <c r="R351" i="2"/>
  <c r="R358" i="2" s="1"/>
  <c r="R752" i="2" s="1"/>
  <c r="R464" i="2"/>
  <c r="R465" i="2"/>
  <c r="Q532" i="2"/>
  <c r="Q533" i="2"/>
  <c r="R172" i="2"/>
  <c r="R584" i="2" s="1"/>
  <c r="R583" i="2"/>
  <c r="R496" i="2"/>
  <c r="R495" i="2"/>
  <c r="R618" i="2"/>
  <c r="Q705" i="2"/>
  <c r="Q704" i="2"/>
  <c r="Q693" i="2"/>
  <c r="Q694" i="2"/>
  <c r="R544" i="2"/>
  <c r="R543" i="2"/>
  <c r="R625" i="2"/>
  <c r="R626" i="2"/>
  <c r="P350" i="2"/>
  <c r="P349" i="2"/>
  <c r="N351" i="2"/>
  <c r="N358" i="2" s="1"/>
  <c r="V117" i="1"/>
  <c r="V118" i="1"/>
  <c r="V119" i="1" s="1"/>
  <c r="R740" i="2" l="1"/>
  <c r="R741" i="2"/>
  <c r="R744" i="2"/>
  <c r="R742" i="2"/>
  <c r="R589" i="2"/>
  <c r="R588" i="2"/>
  <c r="R739" i="2"/>
  <c r="R757" i="2"/>
  <c r="R756" i="2"/>
  <c r="R743" i="2"/>
  <c r="P351" i="2"/>
  <c r="P358" i="2" s="1"/>
  <c r="R745" i="2" l="1"/>
  <c r="R746" i="2"/>
</calcChain>
</file>

<file path=xl/sharedStrings.xml><?xml version="1.0" encoding="utf-8"?>
<sst xmlns="http://schemas.openxmlformats.org/spreadsheetml/2006/main" count="4578" uniqueCount="879">
  <si>
    <t>Cultivar</t>
  </si>
  <si>
    <t>Condition</t>
  </si>
  <si>
    <t>Pmax</t>
  </si>
  <si>
    <t>φ_PSII</t>
  </si>
  <si>
    <t>Rd</t>
  </si>
  <si>
    <t>ISAT_A50</t>
  </si>
  <si>
    <t>ISAT_A99.9</t>
  </si>
  <si>
    <t>Jmax</t>
  </si>
  <si>
    <t>Tetha</t>
  </si>
  <si>
    <t>Fv/Fm</t>
  </si>
  <si>
    <t>Name</t>
  </si>
  <si>
    <t>Symbol</t>
  </si>
  <si>
    <t>µmol CO2 m⁻² s⁻¹</t>
  </si>
  <si>
    <t>µmol CO2/µmol photons</t>
  </si>
  <si>
    <t>µmol photons m⁻² s⁻¹</t>
  </si>
  <si>
    <t>-</t>
  </si>
  <si>
    <t>AE</t>
  </si>
  <si>
    <t>Control</t>
  </si>
  <si>
    <t>11,154 ± 1,721</t>
  </si>
  <si>
    <t>0,049 ± 0,004</t>
  </si>
  <si>
    <t>0,907 ± 0,045</t>
  </si>
  <si>
    <t>144,98 ± 7,25</t>
  </si>
  <si>
    <t>925,11 ± 46,26</t>
  </si>
  <si>
    <t>205,467 ± 30,958</t>
  </si>
  <si>
    <t>0,246 ± 0,012</t>
  </si>
  <si>
    <t>0,827 ± 0,041</t>
  </si>
  <si>
    <t>MD</t>
  </si>
  <si>
    <t>4,873 ± 1,536</t>
  </si>
  <si>
    <t>0,046 ± 0,012</t>
  </si>
  <si>
    <t>1,159 ± 0,059</t>
  </si>
  <si>
    <t>80,46 ± 5,8</t>
  </si>
  <si>
    <t>425,66 ± 27,92</t>
  </si>
  <si>
    <t>86,888 ± 38,261</t>
  </si>
  <si>
    <t>0,213 ± 0,01</t>
  </si>
  <si>
    <t>0,83 ± 0,041</t>
  </si>
  <si>
    <t>SD</t>
  </si>
  <si>
    <t>1,552 ± 0,404</t>
  </si>
  <si>
    <t>0,034 ± 0,008</t>
  </si>
  <si>
    <t>0,957 ± 0,076</t>
  </si>
  <si>
    <t>66,66 ± 10,99</t>
  </si>
  <si>
    <t>289,82 ± 51,57</t>
  </si>
  <si>
    <t>27,653 ± 6,903</t>
  </si>
  <si>
    <t>0,35 ± 0,055</t>
  </si>
  <si>
    <t>0,801 ± 0,03</t>
  </si>
  <si>
    <t>AO</t>
  </si>
  <si>
    <t>9,164 ± 2,012</t>
  </si>
  <si>
    <t>0,033 ± 0,009</t>
  </si>
  <si>
    <t>0,802 ± 0,04</t>
  </si>
  <si>
    <t>114,3 ± 5,72</t>
  </si>
  <si>
    <t>888,91 ± 44,45</t>
  </si>
  <si>
    <t>222,425 ± 46,271</t>
  </si>
  <si>
    <t>0,189 ± 0,009</t>
  </si>
  <si>
    <t>0,829 ± 0,041</t>
  </si>
  <si>
    <t>3,871 ± 0,953</t>
  </si>
  <si>
    <t>0,045 ± 0,011</t>
  </si>
  <si>
    <t>0,846 ± 0,071</t>
  </si>
  <si>
    <t>72,04 ± 6,41</t>
  </si>
  <si>
    <t>415,74 ± 42,28</t>
  </si>
  <si>
    <t>75,704 ± 37,616</t>
  </si>
  <si>
    <t>0,146 ± 0,008</t>
  </si>
  <si>
    <t>0,775 ± 0,038</t>
  </si>
  <si>
    <t>2,597 ± 0,681</t>
  </si>
  <si>
    <t>0,045 ± 0,007</t>
  </si>
  <si>
    <t>0,888 ± 0,044</t>
  </si>
  <si>
    <t>96,79 ± 20,47</t>
  </si>
  <si>
    <t>458,98 ± 84,19</t>
  </si>
  <si>
    <t>47,887 ± 18,505</t>
  </si>
  <si>
    <t>0,192 ± 0,005</t>
  </si>
  <si>
    <t>0,751 ± 0,036</t>
  </si>
  <si>
    <t>C</t>
  </si>
  <si>
    <t>10,918 ± 2,092</t>
  </si>
  <si>
    <t>0,044 ± 0,006</t>
  </si>
  <si>
    <t>0,77 ± 0,039</t>
  </si>
  <si>
    <t>143,76 ± 7,19</t>
  </si>
  <si>
    <t>921,94 ± 46,1</t>
  </si>
  <si>
    <t>193,878 ± 44,339</t>
  </si>
  <si>
    <t>0,118 ± 0,006</t>
  </si>
  <si>
    <t>0,836 ± 0,042</t>
  </si>
  <si>
    <t>6,916 ± 1,881</t>
  </si>
  <si>
    <t>0,051 ± 0,011</t>
  </si>
  <si>
    <t>0,587 ± 0,687</t>
  </si>
  <si>
    <t>95,23 ± 36,38</t>
  </si>
  <si>
    <t>611,31 ± 255,71</t>
  </si>
  <si>
    <t>86,649 ± 15,553</t>
  </si>
  <si>
    <t>0,154 ± 0,285</t>
  </si>
  <si>
    <t>0,806 ± 0,039</t>
  </si>
  <si>
    <t>6,452 ± 1,984</t>
  </si>
  <si>
    <t>0,043 ± 0,006</t>
  </si>
  <si>
    <t>0,105 ± 0,12</t>
  </si>
  <si>
    <t>86,8 ± 8,46</t>
  </si>
  <si>
    <t>611,12 ± 89,57</t>
  </si>
  <si>
    <t>81,536 ± 26,508</t>
  </si>
  <si>
    <t>0,348 ± 0,085</t>
  </si>
  <si>
    <t>0,818 ± 0,039</t>
  </si>
  <si>
    <t>CH</t>
  </si>
  <si>
    <t>14,82 ± 1,716</t>
  </si>
  <si>
    <t>0,056 ± 0,004</t>
  </si>
  <si>
    <t>0,584 ± 0,029</t>
  </si>
  <si>
    <t>180,81 ± 9,04</t>
  </si>
  <si>
    <t>1202,99 ± 60,15</t>
  </si>
  <si>
    <t>200,454 ± 37,884</t>
  </si>
  <si>
    <t>0,266 ± 0,013</t>
  </si>
  <si>
    <t>0,804 ± 0,04</t>
  </si>
  <si>
    <t>1,501 ± 0,488</t>
  </si>
  <si>
    <t>0,033 ± 0,007</t>
  </si>
  <si>
    <t>0,705 ± 0,02</t>
  </si>
  <si>
    <t>54,51 ± 6,44</t>
  </si>
  <si>
    <t>273,74 ± 37,39</t>
  </si>
  <si>
    <t>56,931 ± 26,192</t>
  </si>
  <si>
    <t>0,17 ± 0,012</t>
  </si>
  <si>
    <t>0,701 ± 0,038</t>
  </si>
  <si>
    <t>1,428 ± 0,168</t>
  </si>
  <si>
    <t>0,03 ± 0,006</t>
  </si>
  <si>
    <t>0,72 ± 0,022</t>
  </si>
  <si>
    <t>32,87 ± 2,12</t>
  </si>
  <si>
    <t>148,39 ± 10,81</t>
  </si>
  <si>
    <t>42,238 ± 11,269</t>
  </si>
  <si>
    <t>0,113 ± 0,012</t>
  </si>
  <si>
    <t>0,723 ± 0,031</t>
  </si>
  <si>
    <t>CJ</t>
  </si>
  <si>
    <t>3,688 ± 1,83</t>
  </si>
  <si>
    <t>0,04 ± 0,005</t>
  </si>
  <si>
    <t>0,605 ± 0,038</t>
  </si>
  <si>
    <t>161,57 ± 11,7</t>
  </si>
  <si>
    <t>810,92 ± 57,54</t>
  </si>
  <si>
    <t>90,085 ± 10,998</t>
  </si>
  <si>
    <t>0,059 ± 0,009</t>
  </si>
  <si>
    <t>0,8 ± 0,037</t>
  </si>
  <si>
    <t>1,799 ± 0,454</t>
  </si>
  <si>
    <t>0,046 ± 0,007</t>
  </si>
  <si>
    <t>0,727 ± 0,057</t>
  </si>
  <si>
    <t>51,91 ± 4,05</t>
  </si>
  <si>
    <t>273,21 ± 27,7</t>
  </si>
  <si>
    <t>63,049 ± 19,887</t>
  </si>
  <si>
    <t>0,34 ± 0,034</t>
  </si>
  <si>
    <t>0,781 ± 0,706</t>
  </si>
  <si>
    <t>1,046 ± 0,083</t>
  </si>
  <si>
    <t>0,045 ± 0,003</t>
  </si>
  <si>
    <t>0,79 ± 0,038</t>
  </si>
  <si>
    <t>6,36 ± 1,38</t>
  </si>
  <si>
    <t>33,07 ± 7,19</t>
  </si>
  <si>
    <t>57,17 ± 6,376</t>
  </si>
  <si>
    <t>0,179 ± 0,037</t>
  </si>
  <si>
    <t>0,648 ± 0,028</t>
  </si>
  <si>
    <t>E</t>
  </si>
  <si>
    <t>12,986 ± 2,395</t>
  </si>
  <si>
    <t>0,051 ± 0,007</t>
  </si>
  <si>
    <t>0,559 ± 0,031</t>
  </si>
  <si>
    <t>126,14 ± 5,22</t>
  </si>
  <si>
    <t>824,96 ± 33,13</t>
  </si>
  <si>
    <t>181,259 ± 28,284</t>
  </si>
  <si>
    <t>0,268 ± 0,013</t>
  </si>
  <si>
    <t>0,826 ± 0</t>
  </si>
  <si>
    <t>2,395 ± 1,663</t>
  </si>
  <si>
    <t>0,061 ± 0,007</t>
  </si>
  <si>
    <t>1,102 ± 0,08</t>
  </si>
  <si>
    <t>56,53 ± 3,68</t>
  </si>
  <si>
    <t>318,9 ± 22,9</t>
  </si>
  <si>
    <t>132,452 ± 51,907</t>
  </si>
  <si>
    <t>-0,025 ± 0,01</t>
  </si>
  <si>
    <t>0,754 ± 0,029</t>
  </si>
  <si>
    <t>1,373 ± 0,336</t>
  </si>
  <si>
    <t>0,068 ± 0,007</t>
  </si>
  <si>
    <t>0,892 ± 0,042</t>
  </si>
  <si>
    <t>23,07 ± 3,24</t>
  </si>
  <si>
    <t>90,35 ± 12,48</t>
  </si>
  <si>
    <t>82,638 ± 2,828</t>
  </si>
  <si>
    <t>0,394 ± 0,03</t>
  </si>
  <si>
    <t>0,738 ± 0,03</t>
  </si>
  <si>
    <t>F</t>
  </si>
  <si>
    <t>2,15 ± 0,81</t>
  </si>
  <si>
    <t>0,047 ± 0,007</t>
  </si>
  <si>
    <t>0,969 ± 0,056</t>
  </si>
  <si>
    <t>180,66 ± 7,65</t>
  </si>
  <si>
    <t>553,9 ± 51,08</t>
  </si>
  <si>
    <t>232,878 ± 46,382</t>
  </si>
  <si>
    <t>0,06 ± 0,006</t>
  </si>
  <si>
    <t>0,82 ± 0</t>
  </si>
  <si>
    <t>5,224 ± 1,001</t>
  </si>
  <si>
    <t>0,054 ± 0,01</t>
  </si>
  <si>
    <t>0,323 ± 0,036</t>
  </si>
  <si>
    <t>136,59 ± 24,43</t>
  </si>
  <si>
    <t>951,65 ± 187,5</t>
  </si>
  <si>
    <t>69,465 ± 16,203</t>
  </si>
  <si>
    <t>0,398 ± 0,049</t>
  </si>
  <si>
    <t>0,781 ± 0</t>
  </si>
  <si>
    <t>1,694 ± 0,477</t>
  </si>
  <si>
    <t>0,063 ± 0,009</t>
  </si>
  <si>
    <t>0,586 ± 0,045</t>
  </si>
  <si>
    <t>100,68 ± 23</t>
  </si>
  <si>
    <t>695,17 ± 178,6</t>
  </si>
  <si>
    <t>1,217 ± 0,563</t>
  </si>
  <si>
    <t>0,603 ± 0,04</t>
  </si>
  <si>
    <t>0,714 ± 0,018</t>
  </si>
  <si>
    <t>H</t>
  </si>
  <si>
    <t>11,354 ± 1,656</t>
  </si>
  <si>
    <t>0,035 ± 0,004</t>
  </si>
  <si>
    <t>0,577 ± 0,026</t>
  </si>
  <si>
    <t>65,91 ± 5,82</t>
  </si>
  <si>
    <t>405,85 ± 40,55</t>
  </si>
  <si>
    <t>260,433 ± 36,286</t>
  </si>
  <si>
    <t>-0,019 ± 0,001</t>
  </si>
  <si>
    <t>0,808 ± 0,039</t>
  </si>
  <si>
    <t>2,74 ± 0,811</t>
  </si>
  <si>
    <t>0,051 ± 0,013</t>
  </si>
  <si>
    <t>0,669 ± 0,05</t>
  </si>
  <si>
    <t>59,77 ± 6,87</t>
  </si>
  <si>
    <t>348,66 ± 50,47</t>
  </si>
  <si>
    <t>51,517 ± 24,784</t>
  </si>
  <si>
    <t>0,363 ± 0,033</t>
  </si>
  <si>
    <t>0,804 ± 0,037</t>
  </si>
  <si>
    <t>1,223 ± 0,327</t>
  </si>
  <si>
    <t>0,03 ± 0,009</t>
  </si>
  <si>
    <t>0,675 ± 0,045</t>
  </si>
  <si>
    <t>50,51 ± 3,4</t>
  </si>
  <si>
    <t>253,06 ± 30,64</t>
  </si>
  <si>
    <t>35,645 ± 9,714</t>
  </si>
  <si>
    <t>-0,177 ± 0,076</t>
  </si>
  <si>
    <t>K</t>
  </si>
  <si>
    <t>7,573 ± 2,002</t>
  </si>
  <si>
    <t>0,017 ± 0,006</t>
  </si>
  <si>
    <t>0,552 ± 0,056</t>
  </si>
  <si>
    <t>212,37 ± 10,48</t>
  </si>
  <si>
    <t>1294,77 ± 71,76</t>
  </si>
  <si>
    <t>345,323 ± 55,737</t>
  </si>
  <si>
    <t>0,093 ± 0,008</t>
  </si>
  <si>
    <t>0,799 ± 0,039</t>
  </si>
  <si>
    <t>6,815 ± 1,25</t>
  </si>
  <si>
    <t>0,045 ± 0,01</t>
  </si>
  <si>
    <t>0,628 ± 0,034</t>
  </si>
  <si>
    <t>79,9 ± 5,63</t>
  </si>
  <si>
    <t>509,29 ± 39,43</t>
  </si>
  <si>
    <t>89,605 ± 39,406</t>
  </si>
  <si>
    <t>0,151 ± 0,016</t>
  </si>
  <si>
    <t>0,696 ± 0,038</t>
  </si>
  <si>
    <t>1,053 ± 0,094</t>
  </si>
  <si>
    <t>0,048 ± 0,011</t>
  </si>
  <si>
    <t>0,784 ± 0,024</t>
  </si>
  <si>
    <t>27,57 ± 2,29</t>
  </si>
  <si>
    <t>157,91 ± 13,52</t>
  </si>
  <si>
    <t>30,181 ± 9,282</t>
  </si>
  <si>
    <t>0,295 ± 0,029</t>
  </si>
  <si>
    <t>0,68 ± 0,039</t>
  </si>
  <si>
    <t>M</t>
  </si>
  <si>
    <t>2,958 ± 0,97</t>
  </si>
  <si>
    <t>0,047 ± 0,004</t>
  </si>
  <si>
    <t>0,647 ± 0,034</t>
  </si>
  <si>
    <t>118,4 ± 7,61</t>
  </si>
  <si>
    <t>702,87 ± 50,74</t>
  </si>
  <si>
    <t>47,736 ± 17,872</t>
  </si>
  <si>
    <t>1,614 ± 0,159</t>
  </si>
  <si>
    <t>0,803 ± 0,04</t>
  </si>
  <si>
    <t>9,553 ± 2,204</t>
  </si>
  <si>
    <t>0,046 ± 0,008</t>
  </si>
  <si>
    <t>0,664 ± 0,021</t>
  </si>
  <si>
    <t>112,85 ± 3,88</t>
  </si>
  <si>
    <t>699,7 ± 42,45</t>
  </si>
  <si>
    <t>127,622 ± 36,468</t>
  </si>
  <si>
    <t>-0,012 ± 0,006</t>
  </si>
  <si>
    <t>0,772 ± 0,002</t>
  </si>
  <si>
    <t>4,432 ± 1,285</t>
  </si>
  <si>
    <t>0,038 ± 0,008</t>
  </si>
  <si>
    <t>0,944 ± 0,047</t>
  </si>
  <si>
    <t>78,13 ± 4,36</t>
  </si>
  <si>
    <t>414,46 ± 24,04</t>
  </si>
  <si>
    <t>95,963 ± 29,357</t>
  </si>
  <si>
    <t>0,124 ± 0,007</t>
  </si>
  <si>
    <t>0,784 ± 0,038</t>
  </si>
  <si>
    <t>MS</t>
  </si>
  <si>
    <t>3,037 ± 0,103</t>
  </si>
  <si>
    <t>0,038 ± 0,011</t>
  </si>
  <si>
    <t>1,295 ± 0,073</t>
  </si>
  <si>
    <t>89,2 ± 4,71</t>
  </si>
  <si>
    <t>445,16 ± 18,33</t>
  </si>
  <si>
    <t>104,968 ± 9,452</t>
  </si>
  <si>
    <t>0,161 ± 0,009</t>
  </si>
  <si>
    <t>3,934 ± 0,79</t>
  </si>
  <si>
    <t>0,048 ± 0,008</t>
  </si>
  <si>
    <t>1,631 ± 0,108</t>
  </si>
  <si>
    <t>92,36 ± 5,28</t>
  </si>
  <si>
    <t>452,34 ± 30,5</t>
  </si>
  <si>
    <t>116,479 ± 31,064</t>
  </si>
  <si>
    <t>0,222 ± 0,021</t>
  </si>
  <si>
    <t>0,804 ± 0</t>
  </si>
  <si>
    <t>1,96 ± 0,926</t>
  </si>
  <si>
    <t>1,047 ± 0,068</t>
  </si>
  <si>
    <t>45,14 ± 2,61</t>
  </si>
  <si>
    <t>232,42 ± 18,01</t>
  </si>
  <si>
    <t>81,762 ± 27,592</t>
  </si>
  <si>
    <t>0,254 ± 0,018</t>
  </si>
  <si>
    <t>0,782 ± 0,036</t>
  </si>
  <si>
    <t>P</t>
  </si>
  <si>
    <t>12,649 ± 3,061</t>
  </si>
  <si>
    <t>0,054 ± 0,007</t>
  </si>
  <si>
    <t>0,936 ± 0,044</t>
  </si>
  <si>
    <t>127,06 ± 6,12</t>
  </si>
  <si>
    <t>809,74 ± 39,21</t>
  </si>
  <si>
    <t>132,237 ± 54,636</t>
  </si>
  <si>
    <t>0,258 ± 0,012</t>
  </si>
  <si>
    <t>0,8 ± 0,04</t>
  </si>
  <si>
    <t>5,059 ± 2,95</t>
  </si>
  <si>
    <t>0,041 ± 0,011</t>
  </si>
  <si>
    <t>0,593 ± 0,057</t>
  </si>
  <si>
    <t>94,83 ± 18,33</t>
  </si>
  <si>
    <t>620,94 ± 153,3</t>
  </si>
  <si>
    <t>64,61 ± 14,538</t>
  </si>
  <si>
    <t>0,16 ± 0,021</t>
  </si>
  <si>
    <t>0,787 ± 0,034</t>
  </si>
  <si>
    <t>1,179 ± 0,156</t>
  </si>
  <si>
    <t>0,04 ± 0,016</t>
  </si>
  <si>
    <t>0,755 ± 0,035</t>
  </si>
  <si>
    <t>58,09 ± 18,18</t>
  </si>
  <si>
    <t>284,67 ± 93,27</t>
  </si>
  <si>
    <t>46,717 ± 3,518</t>
  </si>
  <si>
    <t>1,755 ± 0,383</t>
  </si>
  <si>
    <t>0,623 ± 0,023</t>
  </si>
  <si>
    <t>S1</t>
  </si>
  <si>
    <t>8,078 ± 1,688</t>
  </si>
  <si>
    <t>0,035 ± 0,01</t>
  </si>
  <si>
    <t>0,667 ± 0,039</t>
  </si>
  <si>
    <t>107,51 ± 5,47</t>
  </si>
  <si>
    <t>640,18 ± 34,6</t>
  </si>
  <si>
    <t>186,121 ± 25,637</t>
  </si>
  <si>
    <t>0,835 ± 0,042</t>
  </si>
  <si>
    <t>4,1 ± 1,073</t>
  </si>
  <si>
    <t>0,049 ± 0,008</t>
  </si>
  <si>
    <t>0,763 ± 0,064</t>
  </si>
  <si>
    <t>52,76 ± 3,06</t>
  </si>
  <si>
    <t>303,85 ± 19,77</t>
  </si>
  <si>
    <t>35,041 ± 18,394</t>
  </si>
  <si>
    <t>0,191 ± 0,009</t>
  </si>
  <si>
    <t>0,733 ± 0,036</t>
  </si>
  <si>
    <t>2,201 ± 1,025</t>
  </si>
  <si>
    <t>0,047 ± 0,008</t>
  </si>
  <si>
    <t>0,838 ± 0,038</t>
  </si>
  <si>
    <t>32,33 ± 1,98</t>
  </si>
  <si>
    <t>173,7 ± 13,92</t>
  </si>
  <si>
    <t>27,916 ± 4,443</t>
  </si>
  <si>
    <t>0,329 ± 0,024</t>
  </si>
  <si>
    <t>0,724 ± 0,034</t>
  </si>
  <si>
    <t>S2</t>
  </si>
  <si>
    <t>12,153 ± 1,82</t>
  </si>
  <si>
    <t>0,75 ± 0,042</t>
  </si>
  <si>
    <t>157,14 ± 8,06</t>
  </si>
  <si>
    <t>879,79 ± 39,22</t>
  </si>
  <si>
    <t>253,289 ± 52,388</t>
  </si>
  <si>
    <t>0,209 ± 0,011</t>
  </si>
  <si>
    <t>4,177 ± 0,704</t>
  </si>
  <si>
    <t>0,046 ± 0,006</t>
  </si>
  <si>
    <t>0,728 ± 0,036</t>
  </si>
  <si>
    <t>71,24 ± 3,54</t>
  </si>
  <si>
    <t>415,7 ± 21,02</t>
  </si>
  <si>
    <t>83,876 ± 19,123</t>
  </si>
  <si>
    <t>0,226 ± 0,01</t>
  </si>
  <si>
    <t>0,764 ± 0,038</t>
  </si>
  <si>
    <t>3,54 ± 0,894</t>
  </si>
  <si>
    <t>0,76 ± 0,032</t>
  </si>
  <si>
    <t>64,17 ± 3,22</t>
  </si>
  <si>
    <t>364,21 ± 17,79</t>
  </si>
  <si>
    <t>54,196 ± 16,032</t>
  </si>
  <si>
    <t>0,242 ± 0,013</t>
  </si>
  <si>
    <t>0,778 ± 0,038</t>
  </si>
  <si>
    <t>Mean</t>
  </si>
  <si>
    <t>St.desv</t>
  </si>
  <si>
    <t>RSD</t>
  </si>
  <si>
    <t>1/φ_PSII</t>
  </si>
  <si>
    <t>NA</t>
  </si>
  <si>
    <t xml:space="preserve"> </t>
  </si>
  <si>
    <t>Sample</t>
  </si>
  <si>
    <t>1/Alpha_ETR</t>
  </si>
  <si>
    <t>C2</t>
  </si>
  <si>
    <t>C3</t>
  </si>
  <si>
    <t>C3_rep</t>
  </si>
  <si>
    <t>5_a</t>
  </si>
  <si>
    <t>5_b</t>
  </si>
  <si>
    <t>C5</t>
  </si>
  <si>
    <t>C6</t>
  </si>
  <si>
    <t>C6_rep</t>
  </si>
  <si>
    <t>5C</t>
  </si>
  <si>
    <t>6C</t>
  </si>
  <si>
    <t>6C_rep</t>
  </si>
  <si>
    <t>curva_1a</t>
  </si>
  <si>
    <t>curva_1b</t>
  </si>
  <si>
    <t>1_NEW</t>
  </si>
  <si>
    <t>2_NEW</t>
  </si>
  <si>
    <t>3_NEW</t>
  </si>
  <si>
    <t>4_NEW</t>
  </si>
  <si>
    <t>Samples</t>
  </si>
  <si>
    <t>Fv_Fm</t>
  </si>
  <si>
    <t>Fv_Fm_</t>
  </si>
  <si>
    <t>ΔF/Fm'</t>
  </si>
  <si>
    <t>ISAT_A75</t>
  </si>
  <si>
    <t>µmol photons/µmol CO2</t>
  </si>
  <si>
    <t>ETR_max</t>
  </si>
  <si>
    <t>Alpha-ETR (α)</t>
  </si>
  <si>
    <t>ETRd</t>
  </si>
  <si>
    <r>
      <rPr>
        <b/>
        <sz val="9"/>
        <color rgb="FF000000"/>
        <rFont val="Calibri"/>
        <family val="2"/>
      </rPr>
      <t>ΔF</t>
    </r>
    <r>
      <rPr>
        <b/>
        <sz val="9"/>
        <color rgb="FF000000"/>
        <rFont val="Calibri"/>
        <family val="2"/>
        <scheme val="minor"/>
      </rPr>
      <t>/Fm'</t>
    </r>
  </si>
  <si>
    <t>µmol e⁻  m⁻² s⁻¹</t>
  </si>
  <si>
    <t>µmol e⁻ / µmol photons</t>
  </si>
  <si>
    <t>µmol e⁻ m⁻² s⁻¹</t>
  </si>
  <si>
    <t>72,384 ± 3,619</t>
  </si>
  <si>
    <t>0,34 ± 0,028</t>
  </si>
  <si>
    <t>0,868 ± 0,043</t>
  </si>
  <si>
    <t>0,583 ± 0,029</t>
  </si>
  <si>
    <t>42,381 ± 1,782</t>
  </si>
  <si>
    <t>0,337 ± 0,027</t>
  </si>
  <si>
    <t>0,499 ± 0,035</t>
  </si>
  <si>
    <t>0,599 ± 0,026</t>
  </si>
  <si>
    <t>25,022 ± 1,329</t>
  </si>
  <si>
    <t>0,295 ± 0,056</t>
  </si>
  <si>
    <t>0,028 ± 0,012</t>
  </si>
  <si>
    <t>0,832 ± 0</t>
  </si>
  <si>
    <t>0,561 ± 0,029</t>
  </si>
  <si>
    <t>55,025 ± 2,751</t>
  </si>
  <si>
    <t>0,332 ± 0,028</t>
  </si>
  <si>
    <t>0,72 ± 0,036</t>
  </si>
  <si>
    <t>0,552 ± 0,028</t>
  </si>
  <si>
    <t>32,991 ± 1,695</t>
  </si>
  <si>
    <t>0,316 ± 0,018</t>
  </si>
  <si>
    <t>0,135 ± 0,011</t>
  </si>
  <si>
    <t>0,769 ± 0,038</t>
  </si>
  <si>
    <t>0,533 ± 0,028</t>
  </si>
  <si>
    <t>26,883 ± 1,29</t>
  </si>
  <si>
    <t>0,295 ± 0,025</t>
  </si>
  <si>
    <t>-0,069 ± 0,006</t>
  </si>
  <si>
    <t>0,742 ± 0,036</t>
  </si>
  <si>
    <t>0,505 ± 0,023</t>
  </si>
  <si>
    <t>69,242 ± 3,462</t>
  </si>
  <si>
    <t>0,341 ± 0,009</t>
  </si>
  <si>
    <t>0,963 ± 0,048</t>
  </si>
  <si>
    <t>0,631 ± 0,032</t>
  </si>
  <si>
    <t>68,213 ± 3,75</t>
  </si>
  <si>
    <t>0,322 ± 0,023</t>
  </si>
  <si>
    <t>0,487 ± 0,032</t>
  </si>
  <si>
    <t>0,804 ± 0,039</t>
  </si>
  <si>
    <t>0,603 ± 0,032</t>
  </si>
  <si>
    <t>74,262 ± 4,323</t>
  </si>
  <si>
    <t>0,331 ± 0,024</t>
  </si>
  <si>
    <t>0,588 ± 0,039</t>
  </si>
  <si>
    <t>0,809 ± 0,039</t>
  </si>
  <si>
    <t>0,576 ± 0,03</t>
  </si>
  <si>
    <t>88,941 ± 4,447</t>
  </si>
  <si>
    <t>0,334 ± 0,016</t>
  </si>
  <si>
    <t>1,248 ± 0,062</t>
  </si>
  <si>
    <t>0,549 ± 0,027</t>
  </si>
  <si>
    <t>22,959 ± 1,107</t>
  </si>
  <si>
    <t>0,316 ± 0,03</t>
  </si>
  <si>
    <t>0,076 ± 0,003</t>
  </si>
  <si>
    <t>0,715 ± 0,037</t>
  </si>
  <si>
    <t>0,536 ± 0,027</t>
  </si>
  <si>
    <t>26,166 ± 1,505</t>
  </si>
  <si>
    <t>0,305 ± 0,044</t>
  </si>
  <si>
    <t>0,244 ± 0,018</t>
  </si>
  <si>
    <t>0,709 ± 0,034</t>
  </si>
  <si>
    <t>0,519 ± 0,025</t>
  </si>
  <si>
    <t>36,096 ± 2,116</t>
  </si>
  <si>
    <t>0,321 ± 0,024</t>
  </si>
  <si>
    <t>0,342 ± 0,019</t>
  </si>
  <si>
    <t>0,824 ± 0</t>
  </si>
  <si>
    <t>0,551 ± 0,027</t>
  </si>
  <si>
    <t>37,68 ± 3,184</t>
  </si>
  <si>
    <t>0,345 ± 0,03</t>
  </si>
  <si>
    <t>0,436 ± 0,056</t>
  </si>
  <si>
    <t>0,808 ± 0,038</t>
  </si>
  <si>
    <t>0,556 ± 0,025</t>
  </si>
  <si>
    <t>19,892 ± 1,14</t>
  </si>
  <si>
    <t>0,301 ± 0,044</t>
  </si>
  <si>
    <t>0,032 ± 0,004</t>
  </si>
  <si>
    <t>0,506 ± 0,026</t>
  </si>
  <si>
    <t>94,477 ± 4,915</t>
  </si>
  <si>
    <t>0,348 ± 0,008</t>
  </si>
  <si>
    <t>1,26 ± 0,064</t>
  </si>
  <si>
    <t>0,565 ± 0,028</t>
  </si>
  <si>
    <t>39,42 ± 1,703</t>
  </si>
  <si>
    <t>0,334 ± 0,031</t>
  </si>
  <si>
    <t>0,377 ± 0,03</t>
  </si>
  <si>
    <t>0,814 ± 0,037</t>
  </si>
  <si>
    <t>0,539 ± 0,028</t>
  </si>
  <si>
    <t>2,089 ± 0,109</t>
  </si>
  <si>
    <t>0,296 ± 0,042</t>
  </si>
  <si>
    <t>0,17 ± 0,009</t>
  </si>
  <si>
    <t>0,462 ± 0,029</t>
  </si>
  <si>
    <t>0,516 ± 0,026</t>
  </si>
  <si>
    <t>31,334 ± 1,781</t>
  </si>
  <si>
    <t>0,315 ± 0,03</t>
  </si>
  <si>
    <t>0,441 ± 0,023</t>
  </si>
  <si>
    <t>0,539 ± 0,027</t>
  </si>
  <si>
    <t>58,055 ± 3,746</t>
  </si>
  <si>
    <t>0,34 ± 0,026</t>
  </si>
  <si>
    <t>0,663 ± 0,045</t>
  </si>
  <si>
    <t>0,814 ± 0,039</t>
  </si>
  <si>
    <t>0,586 ± 0,03</t>
  </si>
  <si>
    <t>31,45 ± 1,628</t>
  </si>
  <si>
    <t>0,333 ± 0,029</t>
  </si>
  <si>
    <t>0,125 ± 0,025</t>
  </si>
  <si>
    <t>0,803 ± 0,038</t>
  </si>
  <si>
    <t>0,574 ± 0,028</t>
  </si>
  <si>
    <t>86,028 ± 4,054</t>
  </si>
  <si>
    <t>0,328 ± 0,014</t>
  </si>
  <si>
    <t>0,336 ± 0,027</t>
  </si>
  <si>
    <t>0,825 ± 0</t>
  </si>
  <si>
    <t>0,562 ± 0,029</t>
  </si>
  <si>
    <t>51,045 ± 4,14</t>
  </si>
  <si>
    <t>0,241 ± 0,028</t>
  </si>
  <si>
    <t>0,58 ± 0,031</t>
  </si>
  <si>
    <t>24,577 ± 1,339</t>
  </si>
  <si>
    <t>0,297 ± 0,034</t>
  </si>
  <si>
    <t>0,22 ± 0,02</t>
  </si>
  <si>
    <t>0,567 ± 0,029</t>
  </si>
  <si>
    <t>36,33 ± 1,909</t>
  </si>
  <si>
    <t>0,292 ± 0,047</t>
  </si>
  <si>
    <t>-0,172 ± 0,031</t>
  </si>
  <si>
    <t>0,798 ± 0,039</t>
  </si>
  <si>
    <t>0,487 ± 0,024</t>
  </si>
  <si>
    <t>44,383 ± 2,24</t>
  </si>
  <si>
    <t>0,321 ± 0,028</t>
  </si>
  <si>
    <t>0,019 ± 0,002</t>
  </si>
  <si>
    <t>0,731 ± 0,036</t>
  </si>
  <si>
    <t>0,48 ± 0,024</t>
  </si>
  <si>
    <t>27,024 ± 1,756</t>
  </si>
  <si>
    <t>0,325 ± 0,02</t>
  </si>
  <si>
    <t>0,047 ± 0,006</t>
  </si>
  <si>
    <t>0,713 ± 0,037</t>
  </si>
  <si>
    <t>0,467 ± 0,024</t>
  </si>
  <si>
    <t>52,981 ± 2,653</t>
  </si>
  <si>
    <t>0,358 ± 0,028</t>
  </si>
  <si>
    <t>0,981 ± 0,04</t>
  </si>
  <si>
    <t>0,569 ± 0,028</t>
  </si>
  <si>
    <t>49,108 ± 3,406</t>
  </si>
  <si>
    <t>0,32 ± 0,025</t>
  </si>
  <si>
    <t>0,303 ± 0,038</t>
  </si>
  <si>
    <t>0,646 ± 0,033</t>
  </si>
  <si>
    <t>30,133 ± 1,68</t>
  </si>
  <si>
    <t>0,303 ± 0,021</t>
  </si>
  <si>
    <t>0,021 ± 0,003</t>
  </si>
  <si>
    <t>0,79 ± 0,057</t>
  </si>
  <si>
    <t>0,596 ± 0,037</t>
  </si>
  <si>
    <t>26,056 ± 1,215</t>
  </si>
  <si>
    <t>0,305 ± 0,037</t>
  </si>
  <si>
    <t>0,111 ± 0,011</t>
  </si>
  <si>
    <t>0,792 ± 0,039</t>
  </si>
  <si>
    <t>0,515 ± 0,026</t>
  </si>
  <si>
    <t>40,667 ± 2,292</t>
  </si>
  <si>
    <t>0,32 ± 0,016</t>
  </si>
  <si>
    <t>0,229 ± 0,008</t>
  </si>
  <si>
    <t>0,571 ± 0,027</t>
  </si>
  <si>
    <t>25,169 ± 1,488</t>
  </si>
  <si>
    <t>0,323 ± 0,02</t>
  </si>
  <si>
    <t>0,071 ± 0,01</t>
  </si>
  <si>
    <t>0,58 ± 0,029</t>
  </si>
  <si>
    <t>79,794 ± 4,098</t>
  </si>
  <si>
    <t>0,336 ± 0,015</t>
  </si>
  <si>
    <t>0,988 ± 0,056</t>
  </si>
  <si>
    <t>0,612 ± 0,031</t>
  </si>
  <si>
    <t>45,693 ± 1,917</t>
  </si>
  <si>
    <t>0,293 ± 0,034</t>
  </si>
  <si>
    <t>0,232 ± 0,011</t>
  </si>
  <si>
    <t>0,819 ± 0</t>
  </si>
  <si>
    <t>0,593 ± 0,029</t>
  </si>
  <si>
    <t>8,377 ± 0,506</t>
  </si>
  <si>
    <t>0,263 ± 0,03</t>
  </si>
  <si>
    <t>-0,089 ± 0,016</t>
  </si>
  <si>
    <t>0,601 ± 0,02</t>
  </si>
  <si>
    <t>0,554 ± 0,029</t>
  </si>
  <si>
    <t>71,013 ± 4,031</t>
  </si>
  <si>
    <t>0,356 ± 0,015</t>
  </si>
  <si>
    <t>1,095 ± 0,054</t>
  </si>
  <si>
    <t>0,525 ± 0,024</t>
  </si>
  <si>
    <t>36,105 ± 1,708</t>
  </si>
  <si>
    <t>0,336 ± 0,024</t>
  </si>
  <si>
    <t>0,469 ± 0,025</t>
  </si>
  <si>
    <t>0,772 ± 0,035</t>
  </si>
  <si>
    <t>0,494 ± 0,027</t>
  </si>
  <si>
    <t>29,273 ± 1,675</t>
  </si>
  <si>
    <t>0,329 ± 0,023</t>
  </si>
  <si>
    <t>0,243 ± 0,02</t>
  </si>
  <si>
    <t>0,794 ± 0,04</t>
  </si>
  <si>
    <t>0,521 ± 0,026</t>
  </si>
  <si>
    <t>69,063 ± 3,335</t>
  </si>
  <si>
    <t>0,344 ± 0,006</t>
  </si>
  <si>
    <t>0,689 ± 0,039</t>
  </si>
  <si>
    <t>0,549 ± 0,028</t>
  </si>
  <si>
    <t>28,509 ± 1,589</t>
  </si>
  <si>
    <t>0,318 ± 0,013</t>
  </si>
  <si>
    <t>0,216 ± 0,013</t>
  </si>
  <si>
    <t>0,513 ± 0,027</t>
  </si>
  <si>
    <t>29,733 ± 1,606</t>
  </si>
  <si>
    <t>0,328 ± 0,016</t>
  </si>
  <si>
    <t>0,174 ± 0,011</t>
  </si>
  <si>
    <t>0,522 ± 0,025</t>
  </si>
  <si>
    <t>NPQ</t>
  </si>
  <si>
    <t>qP</t>
  </si>
  <si>
    <t>qN</t>
  </si>
  <si>
    <t>mol photons/mol e⁻</t>
  </si>
  <si>
    <t>mol photons/mol CO2</t>
  </si>
  <si>
    <t>mol e⁻/mol CO2</t>
  </si>
  <si>
    <t>µmol photons/µmol e⁻</t>
  </si>
  <si>
    <t>µmol e⁻/µmol CO2</t>
  </si>
  <si>
    <t>2,469 ± 0,123</t>
  </si>
  <si>
    <t>0,388 ± 0,019</t>
  </si>
  <si>
    <t>2,941 ± 0,028</t>
  </si>
  <si>
    <t>20,179 ± 1,491</t>
  </si>
  <si>
    <t>6,861 ± 0,041</t>
  </si>
  <si>
    <t>2,34 ± 0,135</t>
  </si>
  <si>
    <t>0,366 ± 0,019</t>
  </si>
  <si>
    <t>0,788 ± 0,038</t>
  </si>
  <si>
    <t>2,97 ± 0,027</t>
  </si>
  <si>
    <t>23,513 ± 7,367</t>
  </si>
  <si>
    <t>7,916 ± 0,199</t>
  </si>
  <si>
    <t>2,863 ± 0,132</t>
  </si>
  <si>
    <t>0,346 ± 0,023</t>
  </si>
  <si>
    <t>0,83 ± 0,04</t>
  </si>
  <si>
    <t>3,386 ± 0,056</t>
  </si>
  <si>
    <t>30,663 ± 8,169</t>
  </si>
  <si>
    <t>9,055 ± 0,455</t>
  </si>
  <si>
    <t>3,1 ± 0,153</t>
  </si>
  <si>
    <t>0,4 ± 0,02</t>
  </si>
  <si>
    <t>0,841 ± 0,042</t>
  </si>
  <si>
    <t>3,008 ± 0,028</t>
  </si>
  <si>
    <t>31,407 ± 6,714</t>
  </si>
  <si>
    <t>10,44 ± 0,186</t>
  </si>
  <si>
    <t>2,326 ± 0,139</t>
  </si>
  <si>
    <t>0,412 ± 0,021</t>
  </si>
  <si>
    <t>0,777 ± 0,038</t>
  </si>
  <si>
    <t>3,167 ± 0,018</t>
  </si>
  <si>
    <t>23,87 ± 7,377</t>
  </si>
  <si>
    <t>7,538 ± 0,136</t>
  </si>
  <si>
    <t>1,834 ± 0,107</t>
  </si>
  <si>
    <t>0,434 ± 0,025</t>
  </si>
  <si>
    <t>0,774 ± 0,037</t>
  </si>
  <si>
    <t>3,393 ± 0,025</t>
  </si>
  <si>
    <t>22,779 ± 3,591</t>
  </si>
  <si>
    <t>6,713 ± 0,089</t>
  </si>
  <si>
    <t>2,423 ± 0,121</t>
  </si>
  <si>
    <t>0,352 ± 0,018</t>
  </si>
  <si>
    <t>0,79 ± 0,04</t>
  </si>
  <si>
    <t>2,937 ± 0,009</t>
  </si>
  <si>
    <t>23,193 ± 3,354</t>
  </si>
  <si>
    <t>7,898 ± 0,03</t>
  </si>
  <si>
    <t>1,597 ± 0,088</t>
  </si>
  <si>
    <t>0,313 ± 0,017</t>
  </si>
  <si>
    <t>0,716 ± 0,036</t>
  </si>
  <si>
    <t>3,108 ± 0,023</t>
  </si>
  <si>
    <t>20,419 ± 4,614</t>
  </si>
  <si>
    <t>6,569 ± 0,105</t>
  </si>
  <si>
    <t>2,063 ± 0,107</t>
  </si>
  <si>
    <t>0,373 ± 0,023</t>
  </si>
  <si>
    <t>0,779 ± 0,038</t>
  </si>
  <si>
    <t>3,022 ± 0,024</t>
  </si>
  <si>
    <t>23,802 ± 3,524</t>
  </si>
  <si>
    <t>7,875 ± 0,085</t>
  </si>
  <si>
    <t>2,379 ± 0,119</t>
  </si>
  <si>
    <t>0,336 ± 0,017</t>
  </si>
  <si>
    <t>0,812 ± 0,041</t>
  </si>
  <si>
    <t>2,994 ± 0,016</t>
  </si>
  <si>
    <t>18,102 ± 1,464</t>
  </si>
  <si>
    <t>6,046 ± 0,024</t>
  </si>
  <si>
    <t>1,9 ± 0,078</t>
  </si>
  <si>
    <t>0,406 ± 0,022</t>
  </si>
  <si>
    <t>0,753 ± 0,038</t>
  </si>
  <si>
    <t>3,164 ± 0,03</t>
  </si>
  <si>
    <t>31,022 ± 6,202</t>
  </si>
  <si>
    <t>9,805 ± 0,185</t>
  </si>
  <si>
    <t>1,162 ± 0,061</t>
  </si>
  <si>
    <t>0,414 ± 0,03</t>
  </si>
  <si>
    <t>0,681 ± 0,03</t>
  </si>
  <si>
    <t>3,278 ± 0,044</t>
  </si>
  <si>
    <t>34,724 ± 6,217</t>
  </si>
  <si>
    <t>10,593 ± 0,272</t>
  </si>
  <si>
    <t>2,802 ± 0,158</t>
  </si>
  <si>
    <t>0,392 ± 0,02</t>
  </si>
  <si>
    <t>0,831 ± 0,042</t>
  </si>
  <si>
    <t>3,116 ± 0,024</t>
  </si>
  <si>
    <t>25,636 ± 3,354</t>
  </si>
  <si>
    <t>8,227 ± 0,08</t>
  </si>
  <si>
    <t>2,392 ± 0,113</t>
  </si>
  <si>
    <t>0,516 ± 0,027</t>
  </si>
  <si>
    <t>0,808 ± 0,04</t>
  </si>
  <si>
    <t>2,897 ± 0,03</t>
  </si>
  <si>
    <t>22,269 ± 3,252</t>
  </si>
  <si>
    <t>7,686 ± 0,097</t>
  </si>
  <si>
    <t>2,032 ± 0,101</t>
  </si>
  <si>
    <t>0,361 ± 0,015</t>
  </si>
  <si>
    <t>0,809 ± 0,04</t>
  </si>
  <si>
    <t>3,327 ± 0,044</t>
  </si>
  <si>
    <t>22,13 ± 1,464</t>
  </si>
  <si>
    <t>6,652 ± 0,065</t>
  </si>
  <si>
    <t>2,514 ± 0,128</t>
  </si>
  <si>
    <t>0,393 ± 0,02</t>
  </si>
  <si>
    <t>0,821 ± 0,041</t>
  </si>
  <si>
    <t>2,875 ± 0,008</t>
  </si>
  <si>
    <t>19,862 ± 2,426</t>
  </si>
  <si>
    <t>6,909 ± 0,019</t>
  </si>
  <si>
    <t>3,045 ± 0,151</t>
  </si>
  <si>
    <t>0,464 ± 0,025</t>
  </si>
  <si>
    <t>0,846 ± 0,042</t>
  </si>
  <si>
    <t>2,996 ± 0,031</t>
  </si>
  <si>
    <t>16,517 ± 1,79</t>
  </si>
  <si>
    <t>5,513 ± 0,056</t>
  </si>
  <si>
    <t>3,436 ± 0,172</t>
  </si>
  <si>
    <t>0,45 ± 0,023</t>
  </si>
  <si>
    <t>0,869 ± 0,043</t>
  </si>
  <si>
    <t>3,382 ± 0,042</t>
  </si>
  <si>
    <t>14,775 ± 1,524</t>
  </si>
  <si>
    <t>4,369 ± 0,065</t>
  </si>
  <si>
    <t>2,71 ± 0,131</t>
  </si>
  <si>
    <t>0,451 ± 0,025</t>
  </si>
  <si>
    <t>0,84 ± 0,042</t>
  </si>
  <si>
    <t>3,174 ± 0,03</t>
  </si>
  <si>
    <t>21,583 ± 3,282</t>
  </si>
  <si>
    <t>6,8 ± 0,099</t>
  </si>
  <si>
    <t>2,189 ± 0,109</t>
  </si>
  <si>
    <t>0,374 ± 0,021</t>
  </si>
  <si>
    <t>0,784 ± 0,039</t>
  </si>
  <si>
    <t>2,939 ± 0,026</t>
  </si>
  <si>
    <t>19,042 ± 3,455</t>
  </si>
  <si>
    <t>6,479 ± 0,09</t>
  </si>
  <si>
    <t>2,225 ± 0,1</t>
  </si>
  <si>
    <t>0,438 ± 0,029</t>
  </si>
  <si>
    <t>0,783 ± 0,037</t>
  </si>
  <si>
    <t>3,002 ± 0,029</t>
  </si>
  <si>
    <t>16,113 ± 2,167</t>
  </si>
  <si>
    <t>5,368 ± 0,062</t>
  </si>
  <si>
    <t>2,881 ± 0,138</t>
  </si>
  <si>
    <t>0,438 ± 0,022</t>
  </si>
  <si>
    <t>0,819 ± 0,04</t>
  </si>
  <si>
    <t>3,053 ± 0,014</t>
  </si>
  <si>
    <t>28,53 ± 3,221</t>
  </si>
  <si>
    <t>9,346 ± 0,046</t>
  </si>
  <si>
    <t>2,392 ± 0,098</t>
  </si>
  <si>
    <t>0,433 ± 0,022</t>
  </si>
  <si>
    <t>0,797 ± 0,037</t>
  </si>
  <si>
    <t>3,171 ± 0,03</t>
  </si>
  <si>
    <t>20,925 ± 5,702</t>
  </si>
  <si>
    <t>6,598 ± 0,172</t>
  </si>
  <si>
    <t>2,581 ± 0,127</t>
  </si>
  <si>
    <t>0,397 ± 0,022</t>
  </si>
  <si>
    <t>0,818 ± 0,041</t>
  </si>
  <si>
    <t>3,37 ± 0,034</t>
  </si>
  <si>
    <t>35,975 ± 10,746</t>
  </si>
  <si>
    <t>10,676 ± 0,37</t>
  </si>
  <si>
    <t>2,983 ± 0,178</t>
  </si>
  <si>
    <t>0,411 ± 0,015</t>
  </si>
  <si>
    <t>0,865 ± 0,044</t>
  </si>
  <si>
    <t>3,419 ± 0,047</t>
  </si>
  <si>
    <t>65,16 ± 24,126</t>
  </si>
  <si>
    <t>19,059 ± 1,136</t>
  </si>
  <si>
    <t>2,1 ± 0,109</t>
  </si>
  <si>
    <t>0,452 ± 0,025</t>
  </si>
  <si>
    <t>0,806 ± 0,04</t>
  </si>
  <si>
    <t>3,111 ± 0,028</t>
  </si>
  <si>
    <t>23,919 ± 8,548</t>
  </si>
  <si>
    <t>7,689 ± 0,241</t>
  </si>
  <si>
    <t>1,935 ± 0,111</t>
  </si>
  <si>
    <t>0,436 ± 0,021</t>
  </si>
  <si>
    <t>0,793 ± 0,039</t>
  </si>
  <si>
    <t>3,079 ± 0,02</t>
  </si>
  <si>
    <t>21,798 ± 6,173</t>
  </si>
  <si>
    <t>7,079 ± 0,124</t>
  </si>
  <si>
    <t>2,106 ± 0,104</t>
  </si>
  <si>
    <t>0,474 ± 0,024</t>
  </si>
  <si>
    <t>0,787 ± 0,039</t>
  </si>
  <si>
    <t>2,793 ± 0,028</t>
  </si>
  <si>
    <t>21,571 ± 2,082</t>
  </si>
  <si>
    <t>7,725 ± 0,058</t>
  </si>
  <si>
    <t>0,755 ± 0,032</t>
  </si>
  <si>
    <t>0,344 ± 0,024</t>
  </si>
  <si>
    <t>0,457 ± 0,012</t>
  </si>
  <si>
    <t>3,127 ± 0,025</t>
  </si>
  <si>
    <t>22,348 ± 3,942</t>
  </si>
  <si>
    <t>7,146 ± 0,099</t>
  </si>
  <si>
    <t>1,97 ± 0,124</t>
  </si>
  <si>
    <t>0,379 ± 0,027</t>
  </si>
  <si>
    <t>0,718 ± 0,048</t>
  </si>
  <si>
    <t>3,302 ± 0,021</t>
  </si>
  <si>
    <t>27,426 ± 7,962</t>
  </si>
  <si>
    <t>8,307 ± 0,169</t>
  </si>
  <si>
    <t>2,866 ± 0,145</t>
  </si>
  <si>
    <t>0,363 ± 0,018</t>
  </si>
  <si>
    <t>0,848 ± 0,042</t>
  </si>
  <si>
    <t>3,276 ± 0,037</t>
  </si>
  <si>
    <t>28,005 ± 9,302</t>
  </si>
  <si>
    <t>8,549 ± 0,341</t>
  </si>
  <si>
    <t>2,068 ± 0,128</t>
  </si>
  <si>
    <t>0,396 ± 0,023</t>
  </si>
  <si>
    <t>0,78 ± 0,041</t>
  </si>
  <si>
    <t>3,125 ± 0,016</t>
  </si>
  <si>
    <t>21,54 ± 3,485</t>
  </si>
  <si>
    <t>6,892 ± 0,054</t>
  </si>
  <si>
    <t>1,96 ± 0,103</t>
  </si>
  <si>
    <t>0,409 ± 0,025</t>
  </si>
  <si>
    <t>3,093 ± 0,02</t>
  </si>
  <si>
    <t>19,299 ± 4,134</t>
  </si>
  <si>
    <t>6,239 ± 0,081</t>
  </si>
  <si>
    <t>1,444 ± 0,073</t>
  </si>
  <si>
    <t>0,374 ± 0,02</t>
  </si>
  <si>
    <t>0,711 ± 0,037</t>
  </si>
  <si>
    <t>2,979 ± 0,015</t>
  </si>
  <si>
    <t>18,8 ± 2,639</t>
  </si>
  <si>
    <t>6,311 ± 0,038</t>
  </si>
  <si>
    <t>2,113 ± 0,134</t>
  </si>
  <si>
    <t>0,263 ± 0,009</t>
  </si>
  <si>
    <t>0,759 ± 0,039</t>
  </si>
  <si>
    <t>3,419 ± 0,034</t>
  </si>
  <si>
    <t>25,46 ± 6,09</t>
  </si>
  <si>
    <t>7,447 ± 0,207</t>
  </si>
  <si>
    <t>3,009 ± 0,152</t>
  </si>
  <si>
    <t>0,213 ± 0,008</t>
  </si>
  <si>
    <t>0,858 ± 0,046</t>
  </si>
  <si>
    <t>3,799 ± 0,03</t>
  </si>
  <si>
    <t>27,518 ± 8,876</t>
  </si>
  <si>
    <t>7,244 ± 0,263</t>
  </si>
  <si>
    <t>3,157 ± 0,16</t>
  </si>
  <si>
    <t>0,389 ± 0,019</t>
  </si>
  <si>
    <t>0,866 ± 0,045</t>
  </si>
  <si>
    <t>2,81 ± 0,015</t>
  </si>
  <si>
    <t>29,684 ± 7,522</t>
  </si>
  <si>
    <t>10,565 ± 0,11</t>
  </si>
  <si>
    <t>2,79 ± 0,202</t>
  </si>
  <si>
    <t>0,441 ± 0,026</t>
  </si>
  <si>
    <t>0,836 ± 0,043</t>
  </si>
  <si>
    <t>2,978 ± 0,024</t>
  </si>
  <si>
    <t>21,038 ± 3,587</t>
  </si>
  <si>
    <t>7,064 ± 0,088</t>
  </si>
  <si>
    <t>2,591 ± 0,134</t>
  </si>
  <si>
    <t>0,478 ± 0,024</t>
  </si>
  <si>
    <t>0,825 ± 0,041</t>
  </si>
  <si>
    <t>3,036 ± 0,023</t>
  </si>
  <si>
    <t>21,966 ± 3,752</t>
  </si>
  <si>
    <t>7,235 ± 0,085</t>
  </si>
  <si>
    <t>2,742 ± 0,135</t>
  </si>
  <si>
    <t>0,411 ± 0,021</t>
  </si>
  <si>
    <t>0,833 ± 0,041</t>
  </si>
  <si>
    <t>2,904 ± 0,006</t>
  </si>
  <si>
    <t>22,118 ± 1,616</t>
  </si>
  <si>
    <t>7,615 ± 0,009</t>
  </si>
  <si>
    <t>2,053 ± 0,119</t>
  </si>
  <si>
    <t>0,492 ± 0,019</t>
  </si>
  <si>
    <t>0,817 ± 0,045</t>
  </si>
  <si>
    <t>3,142 ± 0,013</t>
  </si>
  <si>
    <t>22,125 ± 2,806</t>
  </si>
  <si>
    <t>7,043 ± 0,036</t>
  </si>
  <si>
    <t>2,319 ± 0,138</t>
  </si>
  <si>
    <t>0,47 ± 0,023</t>
  </si>
  <si>
    <t>0,808 ± 0,041</t>
  </si>
  <si>
    <t>3,045 ± 0,016</t>
  </si>
  <si>
    <t>22,343 ± 3,406</t>
  </si>
  <si>
    <t>7,338 ± 0,054</t>
  </si>
  <si>
    <t xml:space="preserve">µmol photons/µmol e⁻ </t>
  </si>
  <si>
    <r>
      <t>A, µmol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m⁻² s⁻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</si>
  <si>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Fit curves </t>
  </si>
  <si>
    <t xml:space="preserve">Experiemental data curves </t>
  </si>
  <si>
    <t xml:space="preserve">Fit and Experiemental data curves </t>
  </si>
  <si>
    <t>Fit_C</t>
  </si>
  <si>
    <t>Arbequina</t>
  </si>
  <si>
    <t>Experimental_C</t>
  </si>
  <si>
    <t>Arbosana</t>
  </si>
  <si>
    <t>Cornicabra</t>
  </si>
  <si>
    <t>Chemlali</t>
  </si>
  <si>
    <t>Cornezuelo de Jaén</t>
  </si>
  <si>
    <t>Empeltre</t>
  </si>
  <si>
    <t>Frantoio</t>
  </si>
  <si>
    <t>Hojiblanca</t>
  </si>
  <si>
    <t>Koroneiki</t>
  </si>
  <si>
    <t>Martina</t>
  </si>
  <si>
    <t>Manzanilla de Sevilla</t>
  </si>
  <si>
    <t>Picual</t>
  </si>
  <si>
    <t>Sikitita 1</t>
  </si>
  <si>
    <t>Sikitita 2</t>
  </si>
  <si>
    <t>Fit_C_Desv.St</t>
  </si>
  <si>
    <t>Experimental_C_Desv.St</t>
  </si>
  <si>
    <t>Fit_MD</t>
  </si>
  <si>
    <t>Experimental_MD</t>
  </si>
  <si>
    <t>Fit_MD_Desv.St</t>
  </si>
  <si>
    <t>Experimental_MD_Desv.St</t>
  </si>
  <si>
    <t>Fit_SD</t>
  </si>
  <si>
    <t>Experimental_SD</t>
  </si>
  <si>
    <t>Fit_SD_Desv.St</t>
  </si>
  <si>
    <t>Experimental_SD_Desv.St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</si>
</sst>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4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4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/>
      <top style="thick">
        <color rgb="FF80808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17" fillId="3" borderId="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61"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A_I'!$C$7</c:f>
          <c:strCache>
            <c:ptCount val="1"/>
            <c:pt idx="0">
              <c:v>Arbequina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A_I'!$D$7:$P$7</c:f>
              <c:numCache>
                <c:formatCode>General</c:formatCode>
                <c:ptCount val="13"/>
                <c:pt idx="0">
                  <c:v>10.446206174230904</c:v>
                </c:pt>
                <c:pt idx="1">
                  <c:v>10.445909549648778</c:v>
                </c:pt>
                <c:pt idx="2">
                  <c:v>10.444413414765334</c:v>
                </c:pt>
                <c:pt idx="3">
                  <c:v>10.435415101010202</c:v>
                </c:pt>
                <c:pt idx="4">
                  <c:v>10.380000425024896</c:v>
                </c:pt>
                <c:pt idx="5">
                  <c:v>10.030091190674192</c:v>
                </c:pt>
                <c:pt idx="6">
                  <c:v>9.1917462644736361</c:v>
                </c:pt>
                <c:pt idx="7">
                  <c:v>7.8712392856379685</c:v>
                </c:pt>
                <c:pt idx="8">
                  <c:v>6.8040116724135729</c:v>
                </c:pt>
                <c:pt idx="9">
                  <c:v>4.5018879266275853</c:v>
                </c:pt>
                <c:pt idx="10">
                  <c:v>3.5298742107499379</c:v>
                </c:pt>
                <c:pt idx="11">
                  <c:v>1.3111594227969521</c:v>
                </c:pt>
                <c:pt idx="12">
                  <c:v>-1.1420855081824628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CD-4096-A54C-820082758BD0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A_I'!$D$38:$P$38</c:f>
              <c:numCache>
                <c:formatCode>General</c:formatCode>
                <c:ptCount val="13"/>
                <c:pt idx="0">
                  <c:v>4.1200113709132058</c:v>
                </c:pt>
                <c:pt idx="1">
                  <c:v>4.1200107686443195</c:v>
                </c:pt>
                <c:pt idx="2">
                  <c:v>4.1200041065522663</c:v>
                </c:pt>
                <c:pt idx="3">
                  <c:v>4.1199224048544725</c:v>
                </c:pt>
                <c:pt idx="4">
                  <c:v>4.118872907618762</c:v>
                </c:pt>
                <c:pt idx="5">
                  <c:v>4.1042093019176944</c:v>
                </c:pt>
                <c:pt idx="6">
                  <c:v>4.0368586830410793</c:v>
                </c:pt>
                <c:pt idx="7">
                  <c:v>3.8531926949874489</c:v>
                </c:pt>
                <c:pt idx="8">
                  <c:v>3.6332576010933142</c:v>
                </c:pt>
                <c:pt idx="9">
                  <c:v>2.8942892506459481</c:v>
                </c:pt>
                <c:pt idx="10">
                  <c:v>2.4527459119778956</c:v>
                </c:pt>
                <c:pt idx="11">
                  <c:v>1.0890701125304911</c:v>
                </c:pt>
                <c:pt idx="12">
                  <c:v>-1.0926496246640498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CD-4096-A54C-820082758BD0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A_I'!$D$69:$P$69</c:f>
              <c:numCache>
                <c:formatCode>General</c:formatCode>
                <c:ptCount val="13"/>
                <c:pt idx="0">
                  <c:v>0.87233868191286768</c:v>
                </c:pt>
                <c:pt idx="1">
                  <c:v>0.87231184656973138</c:v>
                </c:pt>
                <c:pt idx="2">
                  <c:v>0.87219916497568972</c:v>
                </c:pt>
                <c:pt idx="3">
                  <c:v>0.87163265973205306</c:v>
                </c:pt>
                <c:pt idx="4">
                  <c:v>0.86879843322827088</c:v>
                </c:pt>
                <c:pt idx="5">
                  <c:v>0.85481880878398775</c:v>
                </c:pt>
                <c:pt idx="6">
                  <c:v>0.82627777051619133</c:v>
                </c:pt>
                <c:pt idx="7">
                  <c:v>0.77882623795649597</c:v>
                </c:pt>
                <c:pt idx="8">
                  <c:v>0.73267010770971464</c:v>
                </c:pt>
                <c:pt idx="9">
                  <c:v>0.58489380147329439</c:v>
                </c:pt>
                <c:pt idx="10">
                  <c:v>0.4903144319701605</c:v>
                </c:pt>
                <c:pt idx="11">
                  <c:v>0.11595973326211674</c:v>
                </c:pt>
                <c:pt idx="12">
                  <c:v>-1.0195252788988516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CD-4096-A54C-82008275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A_I'!$C$16</c:f>
          <c:strCache>
            <c:ptCount val="1"/>
            <c:pt idx="0">
              <c:v>Martina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A_I'!$D$16:$P$16</c:f>
              <c:numCache>
                <c:formatCode>General</c:formatCode>
                <c:ptCount val="13"/>
                <c:pt idx="0">
                  <c:v>2.2247084607554877</c:v>
                </c:pt>
                <c:pt idx="1">
                  <c:v>2.2247084607100742</c:v>
                </c:pt>
                <c:pt idx="2">
                  <c:v>2.2247084580165581</c:v>
                </c:pt>
                <c:pt idx="3">
                  <c:v>2.2247082955062272</c:v>
                </c:pt>
                <c:pt idx="4">
                  <c:v>2.2246984478978176</c:v>
                </c:pt>
                <c:pt idx="5">
                  <c:v>2.2240843777531589</c:v>
                </c:pt>
                <c:pt idx="6">
                  <c:v>2.216819348239107</c:v>
                </c:pt>
                <c:pt idx="7">
                  <c:v>2.1792605802432456</c:v>
                </c:pt>
                <c:pt idx="8">
                  <c:v>2.1129148742077746</c:v>
                </c:pt>
                <c:pt idx="9">
                  <c:v>1.7853024780753366</c:v>
                </c:pt>
                <c:pt idx="10">
                  <c:v>1.535544263737449</c:v>
                </c:pt>
                <c:pt idx="11">
                  <c:v>0.62331901082589702</c:v>
                </c:pt>
                <c:pt idx="12">
                  <c:v>-0.88840942913996312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B4-404C-82D4-2F3028C4021E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A_I'!$D$47:$P$47</c:f>
              <c:numCache>
                <c:formatCode>General</c:formatCode>
                <c:ptCount val="13"/>
                <c:pt idx="0">
                  <c:v>9.6427060445399313</c:v>
                </c:pt>
                <c:pt idx="1">
                  <c:v>9.6423998669890807</c:v>
                </c:pt>
                <c:pt idx="2">
                  <c:v>9.6408807906156007</c:v>
                </c:pt>
                <c:pt idx="3">
                  <c:v>9.6325058305410209</c:v>
                </c:pt>
                <c:pt idx="4">
                  <c:v>9.6401019015786069</c:v>
                </c:pt>
                <c:pt idx="5">
                  <c:v>9.472766238807468</c:v>
                </c:pt>
                <c:pt idx="6">
                  <c:v>8.6075202619197775</c:v>
                </c:pt>
                <c:pt idx="7">
                  <c:v>7.4779345347218422</c:v>
                </c:pt>
                <c:pt idx="8">
                  <c:v>6.5630094229129066</c:v>
                </c:pt>
                <c:pt idx="9">
                  <c:v>4.566814857987354</c:v>
                </c:pt>
                <c:pt idx="10">
                  <c:v>3.6555845302027579</c:v>
                </c:pt>
                <c:pt idx="11">
                  <c:v>1.7327828869166269</c:v>
                </c:pt>
                <c:pt idx="12">
                  <c:v>-0.48528263612352635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B4-404C-82D4-2F3028C4021E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A_I'!$D$78:$P$78</c:f>
              <c:numCache>
                <c:formatCode>General</c:formatCode>
                <c:ptCount val="13"/>
                <c:pt idx="0">
                  <c:v>4.2224610123725341</c:v>
                </c:pt>
                <c:pt idx="1">
                  <c:v>4.222460902710111</c:v>
                </c:pt>
                <c:pt idx="2">
                  <c:v>4.2224589866732396</c:v>
                </c:pt>
                <c:pt idx="3">
                  <c:v>4.2224226296813576</c:v>
                </c:pt>
                <c:pt idx="4">
                  <c:v>4.2217416783431476</c:v>
                </c:pt>
                <c:pt idx="5">
                  <c:v>4.2086592336719297</c:v>
                </c:pt>
                <c:pt idx="6">
                  <c:v>4.1326122921625421</c:v>
                </c:pt>
                <c:pt idx="7">
                  <c:v>3.9119262410999021</c:v>
                </c:pt>
                <c:pt idx="8">
                  <c:v>3.6483044929062256</c:v>
                </c:pt>
                <c:pt idx="9">
                  <c:v>2.8144775594978815</c:v>
                </c:pt>
                <c:pt idx="10">
                  <c:v>2.347555365052965</c:v>
                </c:pt>
                <c:pt idx="11">
                  <c:v>1.0068619373884955</c:v>
                </c:pt>
                <c:pt idx="12">
                  <c:v>-0.85743237112924575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B4-404C-82D4-2F3028C4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164594080912300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A_I'!$C$17</c:f>
          <c:strCache>
            <c:ptCount val="1"/>
            <c:pt idx="0">
              <c:v>Manzanilla de Sevilla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A_I'!$D$17:$P$17</c:f>
              <c:numCache>
                <c:formatCode>General</c:formatCode>
                <c:ptCount val="13"/>
                <c:pt idx="0">
                  <c:v>2.2120142161432339</c:v>
                </c:pt>
                <c:pt idx="1">
                  <c:v>2.2120142159103167</c:v>
                </c:pt>
                <c:pt idx="2">
                  <c:v>2.2120142046028994</c:v>
                </c:pt>
                <c:pt idx="3">
                  <c:v>2.2120136328647546</c:v>
                </c:pt>
                <c:pt idx="4">
                  <c:v>2.2119839870091762</c:v>
                </c:pt>
                <c:pt idx="5">
                  <c:v>2.2103995684162654</c:v>
                </c:pt>
                <c:pt idx="6">
                  <c:v>2.1941375669610363</c:v>
                </c:pt>
                <c:pt idx="7">
                  <c:v>2.1226389754272361</c:v>
                </c:pt>
                <c:pt idx="8">
                  <c:v>2.0125786745808161</c:v>
                </c:pt>
                <c:pt idx="9">
                  <c:v>1.5603844970757283</c:v>
                </c:pt>
                <c:pt idx="10">
                  <c:v>1.2574601766441231</c:v>
                </c:pt>
                <c:pt idx="11">
                  <c:v>0.25441224457149048</c:v>
                </c:pt>
                <c:pt idx="12">
                  <c:v>-1.3107226805793786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71-4BB1-8580-A72B4D102165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A_I'!$D$48:$P$48</c:f>
              <c:numCache>
                <c:formatCode>General</c:formatCode>
                <c:ptCount val="13"/>
                <c:pt idx="0">
                  <c:v>2.5354822053114723</c:v>
                </c:pt>
                <c:pt idx="1">
                  <c:v>2.5354822047020642</c:v>
                </c:pt>
                <c:pt idx="2">
                  <c:v>2.5354821807215755</c:v>
                </c:pt>
                <c:pt idx="3">
                  <c:v>2.5354812027245957</c:v>
                </c:pt>
                <c:pt idx="4">
                  <c:v>2.5354405488168639</c:v>
                </c:pt>
                <c:pt idx="5">
                  <c:v>2.5336670974066329</c:v>
                </c:pt>
                <c:pt idx="6">
                  <c:v>2.5167295510447536</c:v>
                </c:pt>
                <c:pt idx="7">
                  <c:v>2.4449259360936568</c:v>
                </c:pt>
                <c:pt idx="8">
                  <c:v>2.3319634967629077</c:v>
                </c:pt>
                <c:pt idx="9">
                  <c:v>1.8446778808275464</c:v>
                </c:pt>
                <c:pt idx="10">
                  <c:v>1.5118346147310295</c:v>
                </c:pt>
                <c:pt idx="11">
                  <c:v>0.37270282854914744</c:v>
                </c:pt>
                <c:pt idx="12">
                  <c:v>-1.7341279356267989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71-4BB1-8580-A72B4D102165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A_I'!$D$79:$P$79</c:f>
              <c:numCache>
                <c:formatCode>General</c:formatCode>
                <c:ptCount val="13"/>
                <c:pt idx="0">
                  <c:v>1.3803736029143334</c:v>
                </c:pt>
                <c:pt idx="1">
                  <c:v>1.3803736029143334</c:v>
                </c:pt>
                <c:pt idx="2">
                  <c:v>1.3803736029143299</c:v>
                </c:pt>
                <c:pt idx="3">
                  <c:v>1.38037360291307</c:v>
                </c:pt>
                <c:pt idx="4">
                  <c:v>1.3803736021019255</c:v>
                </c:pt>
                <c:pt idx="5">
                  <c:v>1.3803756982644193</c:v>
                </c:pt>
                <c:pt idx="6">
                  <c:v>1.3735923469994944</c:v>
                </c:pt>
                <c:pt idx="7">
                  <c:v>1.3773019932259833</c:v>
                </c:pt>
                <c:pt idx="8">
                  <c:v>1.3686539989860274</c:v>
                </c:pt>
                <c:pt idx="9">
                  <c:v>1.2813857462874501</c:v>
                </c:pt>
                <c:pt idx="10">
                  <c:v>1.1959112093359927</c:v>
                </c:pt>
                <c:pt idx="11">
                  <c:v>0.6693324788770848</c:v>
                </c:pt>
                <c:pt idx="12">
                  <c:v>-1.009910689908605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71-4BB1-8580-A72B4D102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025251153950581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A_I'!$C$18</c:f>
          <c:strCache>
            <c:ptCount val="1"/>
            <c:pt idx="0">
              <c:v>Picual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A_I'!$D$18:$P$18</c:f>
              <c:numCache>
                <c:formatCode>General</c:formatCode>
                <c:ptCount val="13"/>
                <c:pt idx="0">
                  <c:v>11.966240285095649</c:v>
                </c:pt>
                <c:pt idx="1">
                  <c:v>11.965743325171667</c:v>
                </c:pt>
                <c:pt idx="2">
                  <c:v>11.963420093990836</c:v>
                </c:pt>
                <c:pt idx="3">
                  <c:v>11.950315645560229</c:v>
                </c:pt>
                <c:pt idx="4">
                  <c:v>11.875014841590557</c:v>
                </c:pt>
                <c:pt idx="5">
                  <c:v>11.438538649855829</c:v>
                </c:pt>
                <c:pt idx="6">
                  <c:v>10.469466308684051</c:v>
                </c:pt>
                <c:pt idx="7">
                  <c:v>9.0214298078485129</c:v>
                </c:pt>
                <c:pt idx="8">
                  <c:v>7.8775529253212211</c:v>
                </c:pt>
                <c:pt idx="9">
                  <c:v>5.4144779464426129</c:v>
                </c:pt>
                <c:pt idx="10">
                  <c:v>4.3624862052216233</c:v>
                </c:pt>
                <c:pt idx="11">
                  <c:v>1.9226693316005325</c:v>
                </c:pt>
                <c:pt idx="12">
                  <c:v>-0.82068809443458546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26-4A39-A6EA-CAA4F0C85A40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A_I'!$D$49:$P$49</c:f>
              <c:numCache>
                <c:formatCode>General</c:formatCode>
                <c:ptCount val="13"/>
                <c:pt idx="0">
                  <c:v>4.5764402184242021</c:v>
                </c:pt>
                <c:pt idx="1">
                  <c:v>4.5033776955237013</c:v>
                </c:pt>
                <c:pt idx="2">
                  <c:v>4.4293485016130987</c:v>
                </c:pt>
                <c:pt idx="3">
                  <c:v>4.3126217890351288</c:v>
                </c:pt>
                <c:pt idx="4">
                  <c:v>4.1333423410231473</c:v>
                </c:pt>
                <c:pt idx="5">
                  <c:v>3.8486434260591063</c:v>
                </c:pt>
                <c:pt idx="6">
                  <c:v>3.5541725037135827</c:v>
                </c:pt>
                <c:pt idx="7">
                  <c:v>3.2081196718137854</c:v>
                </c:pt>
                <c:pt idx="8">
                  <c:v>2.939698194950036</c:v>
                </c:pt>
                <c:pt idx="9">
                  <c:v>2.3118769471794418</c:v>
                </c:pt>
                <c:pt idx="10">
                  <c:v>1.8935016931224626</c:v>
                </c:pt>
                <c:pt idx="11">
                  <c:v>1.1063129352028749</c:v>
                </c:pt>
                <c:pt idx="12">
                  <c:v>-0.5631674084390399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26-4A39-A6EA-CAA4F0C85A40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A_I'!$D$80:$P$80</c:f>
              <c:numCache>
                <c:formatCode>General</c:formatCode>
                <c:ptCount val="13"/>
                <c:pt idx="0">
                  <c:v>0.80444457628820631</c:v>
                </c:pt>
                <c:pt idx="1">
                  <c:v>0.80270415252121674</c:v>
                </c:pt>
                <c:pt idx="2">
                  <c:v>0.79956360147741634</c:v>
                </c:pt>
                <c:pt idx="3">
                  <c:v>0.79175166474987491</c:v>
                </c:pt>
                <c:pt idx="4">
                  <c:v>0.77289121915743275</c:v>
                </c:pt>
                <c:pt idx="5">
                  <c:v>0.66502645243092406</c:v>
                </c:pt>
                <c:pt idx="6">
                  <c:v>0.68671162356488769</c:v>
                </c:pt>
                <c:pt idx="7">
                  <c:v>0.6484753374594886</c:v>
                </c:pt>
                <c:pt idx="8">
                  <c:v>0.62670649842842141</c:v>
                </c:pt>
                <c:pt idx="9">
                  <c:v>0.58900322074088551</c:v>
                </c:pt>
                <c:pt idx="10">
                  <c:v>0.57119873394242993</c:v>
                </c:pt>
                <c:pt idx="11">
                  <c:v>0.46875015657451974</c:v>
                </c:pt>
                <c:pt idx="12">
                  <c:v>-0.67530500817394479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26-4A39-A6EA-CAA4F0C8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A_I'!$C$19</c:f>
          <c:strCache>
            <c:ptCount val="1"/>
            <c:pt idx="0">
              <c:v>Sikitita 1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A_I'!$D$19:$P$19</c:f>
              <c:numCache>
                <c:formatCode>General</c:formatCode>
                <c:ptCount val="13"/>
                <c:pt idx="0">
                  <c:v>7.916117560705592</c:v>
                </c:pt>
                <c:pt idx="1">
                  <c:v>7.9160250518801032</c:v>
                </c:pt>
                <c:pt idx="2">
                  <c:v>7.9154594824991857</c:v>
                </c:pt>
                <c:pt idx="3">
                  <c:v>7.9114097774721319</c:v>
                </c:pt>
                <c:pt idx="4">
                  <c:v>7.8816074904260347</c:v>
                </c:pt>
                <c:pt idx="5">
                  <c:v>7.6574371498998008</c:v>
                </c:pt>
                <c:pt idx="6">
                  <c:v>7.0579218704081041</c:v>
                </c:pt>
                <c:pt idx="7">
                  <c:v>6.0625120755359969</c:v>
                </c:pt>
                <c:pt idx="8">
                  <c:v>5.2457612139809822</c:v>
                </c:pt>
                <c:pt idx="9">
                  <c:v>3.4898316884684109</c:v>
                </c:pt>
                <c:pt idx="10">
                  <c:v>2.7560499282532165</c:v>
                </c:pt>
                <c:pt idx="11">
                  <c:v>1.0988686318909835</c:v>
                </c:pt>
                <c:pt idx="12">
                  <c:v>-0.71512847077035424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14-44F6-84BA-4EE33D912F80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A_I'!$D$50:$P$50</c:f>
              <c:numCache>
                <c:formatCode>General</c:formatCode>
                <c:ptCount val="13"/>
                <c:pt idx="0">
                  <c:v>4.0385788566495746</c:v>
                </c:pt>
                <c:pt idx="1">
                  <c:v>4.0385788284649369</c:v>
                </c:pt>
                <c:pt idx="2">
                  <c:v>4.0385777909828491</c:v>
                </c:pt>
                <c:pt idx="3">
                  <c:v>4.0385606564369398</c:v>
                </c:pt>
                <c:pt idx="4">
                  <c:v>4.0382713108623065</c:v>
                </c:pt>
                <c:pt idx="5">
                  <c:v>4.0329606658621246</c:v>
                </c:pt>
                <c:pt idx="6">
                  <c:v>4.0022512090853075</c:v>
                </c:pt>
                <c:pt idx="7">
                  <c:v>3.8981427427517708</c:v>
                </c:pt>
                <c:pt idx="8">
                  <c:v>3.7504257985707028</c:v>
                </c:pt>
                <c:pt idx="9">
                  <c:v>3.1541655775156108</c:v>
                </c:pt>
                <c:pt idx="10">
                  <c:v>2.75199192582595</c:v>
                </c:pt>
                <c:pt idx="11">
                  <c:v>1.4200665299395825</c:v>
                </c:pt>
                <c:pt idx="12">
                  <c:v>-0.61846006843397316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14-44F6-84BA-4EE33D912F80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A_I'!$D$81:$P$81</c:f>
              <c:numCache>
                <c:formatCode>General</c:formatCode>
                <c:ptCount val="13"/>
                <c:pt idx="0">
                  <c:v>1.1273304577560612</c:v>
                </c:pt>
                <c:pt idx="1">
                  <c:v>1.1273304577560612</c:v>
                </c:pt>
                <c:pt idx="2">
                  <c:v>1.1273304577560606</c:v>
                </c:pt>
                <c:pt idx="3">
                  <c:v>1.1273304577552676</c:v>
                </c:pt>
                <c:pt idx="4">
                  <c:v>1.1273304568644718</c:v>
                </c:pt>
                <c:pt idx="5">
                  <c:v>1.1273294400174607</c:v>
                </c:pt>
                <c:pt idx="6">
                  <c:v>1.1272585846698564</c:v>
                </c:pt>
                <c:pt idx="7">
                  <c:v>1.1260417122265314</c:v>
                </c:pt>
                <c:pt idx="8">
                  <c:v>1.1217246459310009</c:v>
                </c:pt>
                <c:pt idx="9">
                  <c:v>1.0738329211925259</c:v>
                </c:pt>
                <c:pt idx="10">
                  <c:v>1.0125563148383991</c:v>
                </c:pt>
                <c:pt idx="11">
                  <c:v>0.61265212516952761</c:v>
                </c:pt>
                <c:pt idx="12">
                  <c:v>-0.8308717412764075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14-44F6-84BA-4EE33D912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247352701601955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A_I'!$C$20</c:f>
          <c:strCache>
            <c:ptCount val="1"/>
            <c:pt idx="0">
              <c:v>Sikitita 2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A_I'!$D$20:$P$20</c:f>
              <c:numCache>
                <c:formatCode>General</c:formatCode>
                <c:ptCount val="13"/>
                <c:pt idx="0">
                  <c:v>12.007111297548114</c:v>
                </c:pt>
                <c:pt idx="1">
                  <c:v>12.006574471845417</c:v>
                </c:pt>
                <c:pt idx="2">
                  <c:v>12.003912559966915</c:v>
                </c:pt>
                <c:pt idx="3">
                  <c:v>11.988274002148477</c:v>
                </c:pt>
                <c:pt idx="4">
                  <c:v>11.895634549963596</c:v>
                </c:pt>
                <c:pt idx="5">
                  <c:v>11.351148595319348</c:v>
                </c:pt>
                <c:pt idx="6">
                  <c:v>10.161515172450585</c:v>
                </c:pt>
                <c:pt idx="7">
                  <c:v>8.4656636296793053</c:v>
                </c:pt>
                <c:pt idx="8">
                  <c:v>7.2019758039890238</c:v>
                </c:pt>
                <c:pt idx="9">
                  <c:v>4.6976806616450801</c:v>
                </c:pt>
                <c:pt idx="10">
                  <c:v>3.7059207983272633</c:v>
                </c:pt>
                <c:pt idx="11">
                  <c:v>1.5351693130075439</c:v>
                </c:pt>
                <c:pt idx="12">
                  <c:v>-0.78498613006235929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7E-4A50-AF15-F04154D7F1BD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A_I'!$D$51:$P$51</c:f>
              <c:numCache>
                <c:formatCode>General</c:formatCode>
                <c:ptCount val="13"/>
                <c:pt idx="0">
                  <c:v>3.876227689575575</c:v>
                </c:pt>
                <c:pt idx="1">
                  <c:v>3.8762276889610305</c:v>
                </c:pt>
                <c:pt idx="2">
                  <c:v>3.8762276771484849</c:v>
                </c:pt>
                <c:pt idx="3">
                  <c:v>3.8762271207640597</c:v>
                </c:pt>
                <c:pt idx="4">
                  <c:v>3.8762002844600638</c:v>
                </c:pt>
                <c:pt idx="5">
                  <c:v>3.880240020791379</c:v>
                </c:pt>
                <c:pt idx="6">
                  <c:v>3.8619826852007333</c:v>
                </c:pt>
                <c:pt idx="7">
                  <c:v>3.7728672726362684</c:v>
                </c:pt>
                <c:pt idx="8">
                  <c:v>3.6204432702877765</c:v>
                </c:pt>
                <c:pt idx="9">
                  <c:v>2.9901067410361537</c:v>
                </c:pt>
                <c:pt idx="10">
                  <c:v>2.5596581007490076</c:v>
                </c:pt>
                <c:pt idx="11">
                  <c:v>1.1858068124127004</c:v>
                </c:pt>
                <c:pt idx="12">
                  <c:v>-0.80830069155771034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7E-4A50-AF15-F04154D7F1BD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A_I'!$D$82:$P$82</c:f>
              <c:numCache>
                <c:formatCode>General</c:formatCode>
                <c:ptCount val="13"/>
                <c:pt idx="0">
                  <c:v>3.347092857795797</c:v>
                </c:pt>
                <c:pt idx="1">
                  <c:v>3.3470928565854572</c:v>
                </c:pt>
                <c:pt idx="2">
                  <c:v>3.3470928255558392</c:v>
                </c:pt>
                <c:pt idx="3">
                  <c:v>3.3470916519204934</c:v>
                </c:pt>
                <c:pt idx="4">
                  <c:v>3.3470463584894694</c:v>
                </c:pt>
                <c:pt idx="5">
                  <c:v>3.3451919379351231</c:v>
                </c:pt>
                <c:pt idx="6">
                  <c:v>3.3283741407274161</c:v>
                </c:pt>
                <c:pt idx="7">
                  <c:v>3.2568297166116666</c:v>
                </c:pt>
                <c:pt idx="8">
                  <c:v>3.1447733605664334</c:v>
                </c:pt>
                <c:pt idx="9">
                  <c:v>2.6590161766006095</c:v>
                </c:pt>
                <c:pt idx="10">
                  <c:v>2.3156312440583129</c:v>
                </c:pt>
                <c:pt idx="11">
                  <c:v>1.1301076252194442</c:v>
                </c:pt>
                <c:pt idx="12">
                  <c:v>-0.76176074318440912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7E-4A50-AF15-F04154D7F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A_I'!$BD$4</c:f>
          <c:strCache>
            <c:ptCount val="1"/>
            <c:pt idx="0">
              <c:v>Arbosana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A_I'!$D$8:$P$8</c:f>
              <c:numCache>
                <c:formatCode>General</c:formatCode>
                <c:ptCount val="13"/>
                <c:pt idx="0">
                  <c:v>8.3585890798780405</c:v>
                </c:pt>
                <c:pt idx="1">
                  <c:v>8.3551347724233072</c:v>
                </c:pt>
                <c:pt idx="2">
                  <c:v>8.3454908801887626</c:v>
                </c:pt>
                <c:pt idx="3">
                  <c:v>8.3106649462033158</c:v>
                </c:pt>
                <c:pt idx="4">
                  <c:v>8.1821942947512696</c:v>
                </c:pt>
                <c:pt idx="5">
                  <c:v>7.6878758421422058</c:v>
                </c:pt>
                <c:pt idx="6">
                  <c:v>6.8248606290403737</c:v>
                </c:pt>
                <c:pt idx="7">
                  <c:v>5.6778690018174736</c:v>
                </c:pt>
                <c:pt idx="8">
                  <c:v>4.8264161241755739</c:v>
                </c:pt>
                <c:pt idx="9">
                  <c:v>3.106498751751039</c:v>
                </c:pt>
                <c:pt idx="10">
                  <c:v>2.4113657154314896</c:v>
                </c:pt>
                <c:pt idx="11">
                  <c:v>0.86690510543789223</c:v>
                </c:pt>
                <c:pt idx="12">
                  <c:v>-0.80463180277947577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51-40E3-8FA1-E9976D47A7B9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A_I'!$D$39:$P$39</c:f>
              <c:numCache>
                <c:formatCode>General</c:formatCode>
                <c:ptCount val="13"/>
                <c:pt idx="0">
                  <c:v>4.1209228705209986</c:v>
                </c:pt>
                <c:pt idx="1">
                  <c:v>4.1208370267479335</c:v>
                </c:pt>
                <c:pt idx="2">
                  <c:v>4.1204532708314421</c:v>
                </c:pt>
                <c:pt idx="3">
                  <c:v>4.1183474395859569</c:v>
                </c:pt>
                <c:pt idx="4">
                  <c:v>4.1063887686899587</c:v>
                </c:pt>
                <c:pt idx="5">
                  <c:v>4.0359820553753245</c:v>
                </c:pt>
                <c:pt idx="6">
                  <c:v>3.8710214219259838</c:v>
                </c:pt>
                <c:pt idx="7">
                  <c:v>3.5971109169714319</c:v>
                </c:pt>
                <c:pt idx="8">
                  <c:v>3.3490822233163624</c:v>
                </c:pt>
                <c:pt idx="9">
                  <c:v>2.6642145542746496</c:v>
                </c:pt>
                <c:pt idx="10">
                  <c:v>2.2780813027667932</c:v>
                </c:pt>
                <c:pt idx="11">
                  <c:v>1.0543239052778546</c:v>
                </c:pt>
                <c:pt idx="12">
                  <c:v>-0.89426080125513996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51-40E3-8FA1-E9976D47A7B9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A_I'!$D$70:$P$70</c:f>
              <c:numCache>
                <c:formatCode>General</c:formatCode>
                <c:ptCount val="13"/>
                <c:pt idx="0">
                  <c:v>1.9336789582249834</c:v>
                </c:pt>
                <c:pt idx="1">
                  <c:v>1.9336789582249834</c:v>
                </c:pt>
                <c:pt idx="2">
                  <c:v>1.9336789582249574</c:v>
                </c:pt>
                <c:pt idx="3">
                  <c:v>1.9336789582099989</c:v>
                </c:pt>
                <c:pt idx="4">
                  <c:v>1.9336789494985542</c:v>
                </c:pt>
                <c:pt idx="5">
                  <c:v>1.9336730607981034</c:v>
                </c:pt>
                <c:pt idx="6">
                  <c:v>1.9333706440507352</c:v>
                </c:pt>
                <c:pt idx="7">
                  <c:v>1.9356107097702326</c:v>
                </c:pt>
                <c:pt idx="8">
                  <c:v>1.922589831906677</c:v>
                </c:pt>
                <c:pt idx="9">
                  <c:v>1.8031152814154927</c:v>
                </c:pt>
                <c:pt idx="10">
                  <c:v>1.6689049526738275</c:v>
                </c:pt>
                <c:pt idx="11">
                  <c:v>0.93244189488146734</c:v>
                </c:pt>
                <c:pt idx="12">
                  <c:v>-0.93365789986331738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51-40E3-8FA1-E9976D47A7B9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A_I'!$BE$4:$BQ$4</c:f>
              <c:numCache>
                <c:formatCode>General</c:formatCode>
                <c:ptCount val="13"/>
                <c:pt idx="0">
                  <c:v>8.3789614837812394</c:v>
                </c:pt>
                <c:pt idx="1">
                  <c:v>8.66000757451196</c:v>
                </c:pt>
                <c:pt idx="2">
                  <c:v>8.6881887032992875</c:v>
                </c:pt>
                <c:pt idx="3">
                  <c:v>8.4260829067976601</c:v>
                </c:pt>
                <c:pt idx="4">
                  <c:v>7.9375734871100816</c:v>
                </c:pt>
                <c:pt idx="5">
                  <c:v>7.1588395062093033</c:v>
                </c:pt>
                <c:pt idx="6">
                  <c:v>6.3635372499656961</c:v>
                </c:pt>
                <c:pt idx="7">
                  <c:v>#N/A</c:v>
                </c:pt>
                <c:pt idx="8">
                  <c:v>5.0302685694601097</c:v>
                </c:pt>
                <c:pt idx="9">
                  <c:v>#N/A</c:v>
                </c:pt>
                <c:pt idx="10">
                  <c:v>3.0046955595843063</c:v>
                </c:pt>
                <c:pt idx="11">
                  <c:v>1.1602380068529401</c:v>
                </c:pt>
                <c:pt idx="12">
                  <c:v>-1.4435080489381633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51-40E3-8FA1-E9976D47A7B9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A_I'!$BE$35:$BQ$35</c:f>
              <c:numCache>
                <c:formatCode>General</c:formatCode>
                <c:ptCount val="13"/>
                <c:pt idx="0">
                  <c:v>3.4169766321957025</c:v>
                </c:pt>
                <c:pt idx="1">
                  <c:v>3.5109717412559678</c:v>
                </c:pt>
                <c:pt idx="2">
                  <c:v>3.9078723634942891</c:v>
                </c:pt>
                <c:pt idx="3">
                  <c:v>3.7869977854571739</c:v>
                </c:pt>
                <c:pt idx="4">
                  <c:v>3.9398977337137451</c:v>
                </c:pt>
                <c:pt idx="5">
                  <c:v>3.7266639601435201</c:v>
                </c:pt>
                <c:pt idx="6">
                  <c:v>3.0749260500000002</c:v>
                </c:pt>
                <c:pt idx="7">
                  <c:v>3.6963792346439099</c:v>
                </c:pt>
                <c:pt idx="8">
                  <c:v>2.87045605</c:v>
                </c:pt>
                <c:pt idx="9">
                  <c:v>2.877500033719278</c:v>
                </c:pt>
                <c:pt idx="10">
                  <c:v>2.1921556999999998</c:v>
                </c:pt>
                <c:pt idx="11">
                  <c:v>1.1100529950147628</c:v>
                </c:pt>
                <c:pt idx="12">
                  <c:v>-1.0377116315104908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851-40E3-8FA1-E9976D47A7B9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A_I'!$BE$66:$BQ$66</c:f>
              <c:numCache>
                <c:formatCode>General</c:formatCode>
                <c:ptCount val="13"/>
                <c:pt idx="0">
                  <c:v>1.9728767882686875</c:v>
                </c:pt>
                <c:pt idx="1">
                  <c:v>1.9237499212719316</c:v>
                </c:pt>
                <c:pt idx="2">
                  <c:v>1.9690083215434862</c:v>
                </c:pt>
                <c:pt idx="3">
                  <c:v>1.9868262076914425</c:v>
                </c:pt>
                <c:pt idx="4">
                  <c:v>2.1180328938342337</c:v>
                </c:pt>
                <c:pt idx="5">
                  <c:v>1.9596199608646581</c:v>
                </c:pt>
                <c:pt idx="6">
                  <c:v>#N/A</c:v>
                </c:pt>
                <c:pt idx="7">
                  <c:v>1.9077230264812655</c:v>
                </c:pt>
                <c:pt idx="8">
                  <c:v>#N/A</c:v>
                </c:pt>
                <c:pt idx="9">
                  <c:v>1.7641631719847191</c:v>
                </c:pt>
                <c:pt idx="10">
                  <c:v>#N/A</c:v>
                </c:pt>
                <c:pt idx="11">
                  <c:v>0.98748674000508707</c:v>
                </c:pt>
                <c:pt idx="12">
                  <c:v>-0.96034277215145003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851-40E3-8FA1-E9976D47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A_I'!$BD$5</c:f>
          <c:strCache>
            <c:ptCount val="1"/>
            <c:pt idx="0">
              <c:v>Cornicabra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A_I'!$D$9:$P$9</c:f>
              <c:numCache>
                <c:formatCode>General</c:formatCode>
                <c:ptCount val="13"/>
                <c:pt idx="0">
                  <c:v>10.99823027062215</c:v>
                </c:pt>
                <c:pt idx="1">
                  <c:v>10.996521363270555</c:v>
                </c:pt>
                <c:pt idx="2">
                  <c:v>10.990434414429011</c:v>
                </c:pt>
                <c:pt idx="3">
                  <c:v>10.963182108466206</c:v>
                </c:pt>
                <c:pt idx="4">
                  <c:v>10.837988594641446</c:v>
                </c:pt>
                <c:pt idx="5">
                  <c:v>10.250917127118237</c:v>
                </c:pt>
                <c:pt idx="6">
                  <c:v>9.1263955968185204</c:v>
                </c:pt>
                <c:pt idx="7">
                  <c:v>7.6143864751799049</c:v>
                </c:pt>
                <c:pt idx="8">
                  <c:v>6.5082339380515712</c:v>
                </c:pt>
                <c:pt idx="9">
                  <c:v>4.323528837940243</c:v>
                </c:pt>
                <c:pt idx="10">
                  <c:v>3.4561371735494348</c:v>
                </c:pt>
                <c:pt idx="11">
                  <c:v>1.5506282254510282</c:v>
                </c:pt>
                <c:pt idx="12">
                  <c:v>-0.49341092693210181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A2-4EA7-B793-B120D6E35EB0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A_I'!$D$40:$P$40</c:f>
              <c:numCache>
                <c:formatCode>General</c:formatCode>
                <c:ptCount val="13"/>
                <c:pt idx="0">
                  <c:v>6.5230476747530002</c:v>
                </c:pt>
                <c:pt idx="1">
                  <c:v>6.5230363903256059</c:v>
                </c:pt>
                <c:pt idx="2">
                  <c:v>6.5229608077693877</c:v>
                </c:pt>
                <c:pt idx="3">
                  <c:v>6.5223678684921209</c:v>
                </c:pt>
                <c:pt idx="4">
                  <c:v>6.5173698253759902</c:v>
                </c:pt>
                <c:pt idx="5">
                  <c:v>6.4701090365907525</c:v>
                </c:pt>
                <c:pt idx="6">
                  <c:v>6.3013080650892217</c:v>
                </c:pt>
                <c:pt idx="7">
                  <c:v>5.9179940039776726</c:v>
                </c:pt>
                <c:pt idx="8">
                  <c:v>5.5091483866423179</c:v>
                </c:pt>
                <c:pt idx="9">
                  <c:v>4.3065260823199401</c:v>
                </c:pt>
                <c:pt idx="10">
                  <c:v>3.6564175594171764</c:v>
                </c:pt>
                <c:pt idx="11">
                  <c:v>1.8447887652622583</c:v>
                </c:pt>
                <c:pt idx="12">
                  <c:v>-0.57650731671348865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A2-4EA7-B793-B120D6E35EB0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A_I'!$D$71:$P$71</c:f>
              <c:numCache>
                <c:formatCode>General</c:formatCode>
                <c:ptCount val="13"/>
                <c:pt idx="0">
                  <c:v>6.0122964388494751</c:v>
                </c:pt>
                <c:pt idx="1">
                  <c:v>6.0122853111212473</c:v>
                </c:pt>
                <c:pt idx="2">
                  <c:v>6.012205137055358</c:v>
                </c:pt>
                <c:pt idx="3">
                  <c:v>6.0115494385179558</c:v>
                </c:pt>
                <c:pt idx="4">
                  <c:v>6.0060656363668397</c:v>
                </c:pt>
                <c:pt idx="5">
                  <c:v>5.9577981128468078</c:v>
                </c:pt>
                <c:pt idx="6">
                  <c:v>5.8032317697002611</c:v>
                </c:pt>
                <c:pt idx="7">
                  <c:v>5.4836528833146385</c:v>
                </c:pt>
                <c:pt idx="8">
                  <c:v>5.1592202748462892</c:v>
                </c:pt>
                <c:pt idx="9">
                  <c:v>4.2112354785670396</c:v>
                </c:pt>
                <c:pt idx="10">
                  <c:v>3.6704388825044565</c:v>
                </c:pt>
                <c:pt idx="11">
                  <c:v>2.0177251881244915</c:v>
                </c:pt>
                <c:pt idx="12">
                  <c:v>-0.57091592246694056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FA2-4EA7-B793-B120D6E35EB0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A_I'!$BE$5:$BQ$5</c:f>
              <c:numCache>
                <c:formatCode>General</c:formatCode>
                <c:ptCount val="13"/>
                <c:pt idx="0">
                  <c:v>10.409900666666667</c:v>
                </c:pt>
                <c:pt idx="1">
                  <c:v>11.451877999999999</c:v>
                </c:pt>
                <c:pt idx="2">
                  <c:v>11.490725666666668</c:v>
                </c:pt>
                <c:pt idx="3">
                  <c:v>11.112710999999999</c:v>
                </c:pt>
                <c:pt idx="4">
                  <c:v>10.546499666666667</c:v>
                </c:pt>
                <c:pt idx="5">
                  <c:v>9.6657216666666663</c:v>
                </c:pt>
                <c:pt idx="6">
                  <c:v>8.6547896666666677</c:v>
                </c:pt>
                <c:pt idx="7">
                  <c:v>#N/A</c:v>
                </c:pt>
                <c:pt idx="8">
                  <c:v>6.7748143333333344</c:v>
                </c:pt>
                <c:pt idx="9">
                  <c:v>#N/A</c:v>
                </c:pt>
                <c:pt idx="10">
                  <c:v>3.9402193333333333</c:v>
                </c:pt>
                <c:pt idx="11">
                  <c:v>1.6555799999999998</c:v>
                </c:pt>
                <c:pt idx="12">
                  <c:v>-0.91044999999999998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FA2-4EA7-B793-B120D6E35EB0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A_I'!$BE$36:$BQ$36</c:f>
              <c:numCache>
                <c:formatCode>General</c:formatCode>
                <c:ptCount val="13"/>
                <c:pt idx="0">
                  <c:v>5.8833488453875864</c:v>
                </c:pt>
                <c:pt idx="1">
                  <c:v>6.3401300003329837</c:v>
                </c:pt>
                <c:pt idx="2">
                  <c:v>6.606318796941121</c:v>
                </c:pt>
                <c:pt idx="3">
                  <c:v>6.8794905458951066</c:v>
                </c:pt>
                <c:pt idx="4">
                  <c:v>6.8913244923069064</c:v>
                </c:pt>
                <c:pt idx="5">
                  <c:v>6.7940317160488322</c:v>
                </c:pt>
                <c:pt idx="6">
                  <c:v>#N/A</c:v>
                </c:pt>
                <c:pt idx="7">
                  <c:v>5.9471838224085909</c:v>
                </c:pt>
                <c:pt idx="8">
                  <c:v>#N/A</c:v>
                </c:pt>
                <c:pt idx="9">
                  <c:v>4.2467216720383272</c:v>
                </c:pt>
                <c:pt idx="10">
                  <c:v>#N/A</c:v>
                </c:pt>
                <c:pt idx="11">
                  <c:v>1.7333972782076021</c:v>
                </c:pt>
                <c:pt idx="12">
                  <c:v>-0.54446389883781976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FA2-4EA7-B793-B120D6E35EB0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A_I'!$BE$67:$BQ$67</c:f>
              <c:numCache>
                <c:formatCode>General</c:formatCode>
                <c:ptCount val="13"/>
                <c:pt idx="0">
                  <c:v>5.546750145761564</c:v>
                </c:pt>
                <c:pt idx="1">
                  <c:v>5.760637159111198</c:v>
                </c:pt>
                <c:pt idx="2">
                  <c:v>6.0439638624947598</c:v>
                </c:pt>
                <c:pt idx="3">
                  <c:v>6.2167209443710361</c:v>
                </c:pt>
                <c:pt idx="4">
                  <c:v>6.272812386159365</c:v>
                </c:pt>
                <c:pt idx="5">
                  <c:v>6.2339606118452018</c:v>
                </c:pt>
                <c:pt idx="6">
                  <c:v>#N/A</c:v>
                </c:pt>
                <c:pt idx="7">
                  <c:v>5.8638385024855344</c:v>
                </c:pt>
                <c:pt idx="8">
                  <c:v>#N/A</c:v>
                </c:pt>
                <c:pt idx="9">
                  <c:v>4.4798578688776267</c:v>
                </c:pt>
                <c:pt idx="10">
                  <c:v>#N/A</c:v>
                </c:pt>
                <c:pt idx="11">
                  <c:v>2.4141306242526883</c:v>
                </c:pt>
                <c:pt idx="12">
                  <c:v>0.57795202152547853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FA2-4EA7-B793-B120D6E3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40456149877817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A_I'!$BD$6</c:f>
          <c:strCache>
            <c:ptCount val="1"/>
            <c:pt idx="0">
              <c:v>Chemlali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A_I'!$D$10:$P$10</c:f>
              <c:numCache>
                <c:formatCode>General</c:formatCode>
                <c:ptCount val="13"/>
                <c:pt idx="0">
                  <c:v>14.861142391430562</c:v>
                </c:pt>
                <c:pt idx="1">
                  <c:v>14.860467814270173</c:v>
                </c:pt>
                <c:pt idx="2">
                  <c:v>14.857071571342379</c:v>
                </c:pt>
                <c:pt idx="3">
                  <c:v>14.836980506587182</c:v>
                </c:pt>
                <c:pt idx="4">
                  <c:v>14.717999745307734</c:v>
                </c:pt>
                <c:pt idx="5">
                  <c:v>14.025203488967202</c:v>
                </c:pt>
                <c:pt idx="6">
                  <c:v>12.532461905889612</c:v>
                </c:pt>
                <c:pt idx="7">
                  <c:v>10.43404319518071</c:v>
                </c:pt>
                <c:pt idx="8">
                  <c:v>8.8861360964233587</c:v>
                </c:pt>
                <c:pt idx="9">
                  <c:v>5.8465573100908932</c:v>
                </c:pt>
                <c:pt idx="10">
                  <c:v>4.6503841159883059</c:v>
                </c:pt>
                <c:pt idx="11">
                  <c:v>2.0419670655303919</c:v>
                </c:pt>
                <c:pt idx="12">
                  <c:v>-0.73796683640796878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69-4572-9309-11898120C5B1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A_I'!$D$41:$P$41</c:f>
              <c:numCache>
                <c:formatCode>General</c:formatCode>
                <c:ptCount val="13"/>
                <c:pt idx="0">
                  <c:v>0.88288919582519043</c:v>
                </c:pt>
                <c:pt idx="1">
                  <c:v>0.88289035808734406</c:v>
                </c:pt>
                <c:pt idx="2">
                  <c:v>0.88288045595407671</c:v>
                </c:pt>
                <c:pt idx="3">
                  <c:v>0.88280538963855026</c:v>
                </c:pt>
                <c:pt idx="4">
                  <c:v>0.88223741673642231</c:v>
                </c:pt>
                <c:pt idx="5">
                  <c:v>0.87799615597738911</c:v>
                </c:pt>
                <c:pt idx="6">
                  <c:v>0.86682034905229366</c:v>
                </c:pt>
                <c:pt idx="7">
                  <c:v>0.84707838260161938</c:v>
                </c:pt>
                <c:pt idx="8">
                  <c:v>0.82758300493003445</c:v>
                </c:pt>
                <c:pt idx="9">
                  <c:v>0.75620762888739723</c:v>
                </c:pt>
                <c:pt idx="10">
                  <c:v>0.70082306996634969</c:v>
                </c:pt>
                <c:pt idx="11">
                  <c:v>0.43485861521205144</c:v>
                </c:pt>
                <c:pt idx="12">
                  <c:v>-0.62124268887790013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69-4572-9309-11898120C5B1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A_I'!$D$72:$P$72</c:f>
              <c:numCache>
                <c:formatCode>General</c:formatCode>
                <c:ptCount val="13"/>
                <c:pt idx="0">
                  <c:v>0.74223339686928558</c:v>
                </c:pt>
                <c:pt idx="1">
                  <c:v>0.74223339686927481</c:v>
                </c:pt>
                <c:pt idx="2">
                  <c:v>0.74223339686725731</c:v>
                </c:pt>
                <c:pt idx="3">
                  <c:v>0.74223339648991327</c:v>
                </c:pt>
                <c:pt idx="4">
                  <c:v>0.74223332585936397</c:v>
                </c:pt>
                <c:pt idx="5">
                  <c:v>0.74222000718837189</c:v>
                </c:pt>
                <c:pt idx="6">
                  <c:v>0.74191599118942186</c:v>
                </c:pt>
                <c:pt idx="7">
                  <c:v>0.73947043796679712</c:v>
                </c:pt>
                <c:pt idx="8">
                  <c:v>0.7341719029901147</c:v>
                </c:pt>
                <c:pt idx="9">
                  <c:v>0.69931504346779538</c:v>
                </c:pt>
                <c:pt idx="10">
                  <c:v>0.66641109417080124</c:v>
                </c:pt>
                <c:pt idx="11">
                  <c:v>0.50103152292747866</c:v>
                </c:pt>
                <c:pt idx="12">
                  <c:v>-0.64160199744424495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69-4572-9309-11898120C5B1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A_I'!$BE$6:$BQ$6</c:f>
              <c:numCache>
                <c:formatCode>General</c:formatCode>
                <c:ptCount val="13"/>
                <c:pt idx="0">
                  <c:v>14.383604345049134</c:v>
                </c:pt>
                <c:pt idx="1">
                  <c:v>15.175424044757699</c:v>
                </c:pt>
                <c:pt idx="2">
                  <c:v>15.284244759247066</c:v>
                </c:pt>
                <c:pt idx="3">
                  <c:v>14.797022873306801</c:v>
                </c:pt>
                <c:pt idx="4">
                  <c:v>14.396349894770498</c:v>
                </c:pt>
                <c:pt idx="5">
                  <c:v>13.184164203050234</c:v>
                </c:pt>
                <c:pt idx="6">
                  <c:v>12.146087052293666</c:v>
                </c:pt>
                <c:pt idx="7">
                  <c:v>#N/A</c:v>
                </c:pt>
                <c:pt idx="8">
                  <c:v>9.2607618465026729</c:v>
                </c:pt>
                <c:pt idx="9">
                  <c:v>#N/A</c:v>
                </c:pt>
                <c:pt idx="10">
                  <c:v>5.0442974917369066</c:v>
                </c:pt>
                <c:pt idx="11">
                  <c:v>2.1849843124964168</c:v>
                </c:pt>
                <c:pt idx="12">
                  <c:v>-1.1531476726066179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669-4572-9309-11898120C5B1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A_I'!$BE$37:$BQ$37</c:f>
              <c:numCache>
                <c:formatCode>General</c:formatCode>
                <c:ptCount val="13"/>
                <c:pt idx="0">
                  <c:v>0.89326704567972903</c:v>
                </c:pt>
                <c:pt idx="1">
                  <c:v>0.87074224971944902</c:v>
                </c:pt>
                <c:pt idx="2">
                  <c:v>0.82228167532171537</c:v>
                </c:pt>
                <c:pt idx="3">
                  <c:v>0.90139540100408111</c:v>
                </c:pt>
                <c:pt idx="4">
                  <c:v>0.91020695995495737</c:v>
                </c:pt>
                <c:pt idx="5">
                  <c:v>0.87046004716212289</c:v>
                </c:pt>
                <c:pt idx="6">
                  <c:v>0.37534707145833335</c:v>
                </c:pt>
                <c:pt idx="7">
                  <c:v>0.9297938549454603</c:v>
                </c:pt>
                <c:pt idx="8">
                  <c:v>0.44382663645833331</c:v>
                </c:pt>
                <c:pt idx="9">
                  <c:v>0.84286062469797496</c:v>
                </c:pt>
                <c:pt idx="10">
                  <c:v>0.32440918125000001</c:v>
                </c:pt>
                <c:pt idx="11">
                  <c:v>0.41396207854116546</c:v>
                </c:pt>
                <c:pt idx="12">
                  <c:v>-0.63229223117097533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669-4572-9309-11898120C5B1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A_I'!$BE$68:$BQ$68</c:f>
              <c:numCache>
                <c:formatCode>General</c:formatCode>
                <c:ptCount val="13"/>
                <c:pt idx="0">
                  <c:v>0.76012276806805801</c:v>
                </c:pt>
                <c:pt idx="1">
                  <c:v>0.76903680962320276</c:v>
                </c:pt>
                <c:pt idx="2">
                  <c:v>0.74781053511645024</c:v>
                </c:pt>
                <c:pt idx="3">
                  <c:v>0.77395831523238978</c:v>
                </c:pt>
                <c:pt idx="4">
                  <c:v>0.75331447607250235</c:v>
                </c:pt>
                <c:pt idx="5">
                  <c:v>0.76211772386653642</c:v>
                </c:pt>
                <c:pt idx="6">
                  <c:v>#N/A</c:v>
                </c:pt>
                <c:pt idx="7">
                  <c:v>0.75402160694271803</c:v>
                </c:pt>
                <c:pt idx="8">
                  <c:v>#N/A</c:v>
                </c:pt>
                <c:pt idx="9">
                  <c:v>0.6122623076376601</c:v>
                </c:pt>
                <c:pt idx="10">
                  <c:v>#N/A</c:v>
                </c:pt>
                <c:pt idx="11">
                  <c:v>0.37172683759740577</c:v>
                </c:pt>
                <c:pt idx="12">
                  <c:v>-0.66508741043828867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669-4572-9309-11898120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A_I'!$BD$7</c:f>
          <c:strCache>
            <c:ptCount val="1"/>
            <c:pt idx="0">
              <c:v>Cornezuelo de Jaén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A_I'!$D$11:$P$11</c:f>
              <c:numCache>
                <c:formatCode>General</c:formatCode>
                <c:ptCount val="13"/>
                <c:pt idx="0">
                  <c:v>3.7423164182892825</c:v>
                </c:pt>
                <c:pt idx="1">
                  <c:v>3.7391410949816208</c:v>
                </c:pt>
                <c:pt idx="2">
                  <c:v>3.7324448352591517</c:v>
                </c:pt>
                <c:pt idx="3">
                  <c:v>3.7135357827252098</c:v>
                </c:pt>
                <c:pt idx="4">
                  <c:v>3.6612909852781361</c:v>
                </c:pt>
                <c:pt idx="5">
                  <c:v>3.5226093380122148</c:v>
                </c:pt>
                <c:pt idx="6">
                  <c:v>3.3388405419702853</c:v>
                </c:pt>
                <c:pt idx="7">
                  <c:v>3.0889473119600899</c:v>
                </c:pt>
                <c:pt idx="8">
                  <c:v>2.8582796942648163</c:v>
                </c:pt>
                <c:pt idx="9">
                  <c:v>2.1825222052565896</c:v>
                </c:pt>
                <c:pt idx="10">
                  <c:v>1.8042348328358941</c:v>
                </c:pt>
                <c:pt idx="11">
                  <c:v>0.71444551643754717</c:v>
                </c:pt>
                <c:pt idx="12">
                  <c:v>-0.76656986831693819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E6-4A37-A887-F394ACF73535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A_I'!$D$42:$P$42</c:f>
              <c:numCache>
                <c:formatCode>General</c:formatCode>
                <c:ptCount val="13"/>
                <c:pt idx="0">
                  <c:v>1.0742978087117749</c:v>
                </c:pt>
                <c:pt idx="1">
                  <c:v>1.0742978087116257</c:v>
                </c:pt>
                <c:pt idx="2">
                  <c:v>1.0742978086931569</c:v>
                </c:pt>
                <c:pt idx="3">
                  <c:v>1.0742978063900139</c:v>
                </c:pt>
                <c:pt idx="4">
                  <c:v>1.0742975188427453</c:v>
                </c:pt>
                <c:pt idx="5">
                  <c:v>1.0742612223657202</c:v>
                </c:pt>
                <c:pt idx="6">
                  <c:v>1.0736087716359037</c:v>
                </c:pt>
                <c:pt idx="7">
                  <c:v>1.0202263091243675</c:v>
                </c:pt>
                <c:pt idx="8">
                  <c:v>1.060102960449181</c:v>
                </c:pt>
                <c:pt idx="9">
                  <c:v>0.99641331337052919</c:v>
                </c:pt>
                <c:pt idx="10">
                  <c:v>0.9265370605854808</c:v>
                </c:pt>
                <c:pt idx="11">
                  <c:v>0.5641223406646042</c:v>
                </c:pt>
                <c:pt idx="12">
                  <c:v>-0.77348768833261072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E6-4A37-A887-F394ACF73535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A_I'!$D$73:$P$73</c:f>
              <c:numCache>
                <c:formatCode>General</c:formatCode>
                <c:ptCount val="13"/>
                <c:pt idx="0">
                  <c:v>0.30376009158557504</c:v>
                </c:pt>
                <c:pt idx="1">
                  <c:v>0.30376009158557504</c:v>
                </c:pt>
                <c:pt idx="2">
                  <c:v>0.30376009158557504</c:v>
                </c:pt>
                <c:pt idx="3">
                  <c:v>0.30376009158557504</c:v>
                </c:pt>
                <c:pt idx="4">
                  <c:v>0.30376009158557504</c:v>
                </c:pt>
                <c:pt idx="5">
                  <c:v>0.30376009158557504</c:v>
                </c:pt>
                <c:pt idx="6">
                  <c:v>0.30376009158557504</c:v>
                </c:pt>
                <c:pt idx="7">
                  <c:v>0.30376009158557504</c:v>
                </c:pt>
                <c:pt idx="8">
                  <c:v>0.30376009158557504</c:v>
                </c:pt>
                <c:pt idx="9">
                  <c:v>0.30376009158557504</c:v>
                </c:pt>
                <c:pt idx="10">
                  <c:v>0.30376009158557504</c:v>
                </c:pt>
                <c:pt idx="11">
                  <c:v>0.30376009158557504</c:v>
                </c:pt>
                <c:pt idx="12">
                  <c:v>-0.58356555163495971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E6-4A37-A887-F394ACF73535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A_I'!$BE$7:$BQ$7</c:f>
              <c:numCache>
                <c:formatCode>General</c:formatCode>
                <c:ptCount val="13"/>
                <c:pt idx="0">
                  <c:v>3.8360235375</c:v>
                </c:pt>
                <c:pt idx="1">
                  <c:v>3.9550565541666662</c:v>
                </c:pt>
                <c:pt idx="2">
                  <c:v>3.997424520833333</c:v>
                </c:pt>
                <c:pt idx="3">
                  <c:v>3.734972908333333</c:v>
                </c:pt>
                <c:pt idx="4">
                  <c:v>3.5478702874999994</c:v>
                </c:pt>
                <c:pt idx="5">
                  <c:v>3.2596724416666669</c:v>
                </c:pt>
                <c:pt idx="6">
                  <c:v>2.9620661583333332</c:v>
                </c:pt>
                <c:pt idx="7">
                  <c:v>#N/A</c:v>
                </c:pt>
                <c:pt idx="8">
                  <c:v>2.5753882000000003</c:v>
                </c:pt>
                <c:pt idx="9">
                  <c:v>#N/A</c:v>
                </c:pt>
                <c:pt idx="10">
                  <c:v>1.8847633291666668</c:v>
                </c:pt>
                <c:pt idx="11">
                  <c:v>1.0583316333333332</c:v>
                </c:pt>
                <c:pt idx="12">
                  <c:v>-1.1259677916666668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E6-4A37-A887-F394ACF73535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A_I'!$BE$38:$BQ$38</c:f>
              <c:numCache>
                <c:formatCode>General</c:formatCode>
                <c:ptCount val="13"/>
                <c:pt idx="0">
                  <c:v>0.82246395727198751</c:v>
                </c:pt>
                <c:pt idx="1">
                  <c:v>0.84192366838631505</c:v>
                </c:pt>
                <c:pt idx="2">
                  <c:v>0.87532451690326041</c:v>
                </c:pt>
                <c:pt idx="3">
                  <c:v>0.92778692324134848</c:v>
                </c:pt>
                <c:pt idx="4">
                  <c:v>0.95799809986887341</c:v>
                </c:pt>
                <c:pt idx="5">
                  <c:v>0.99144629170733722</c:v>
                </c:pt>
                <c:pt idx="6">
                  <c:v>#N/A</c:v>
                </c:pt>
                <c:pt idx="7">
                  <c:v>1.0109473892418375</c:v>
                </c:pt>
                <c:pt idx="8">
                  <c:v>#N/A</c:v>
                </c:pt>
                <c:pt idx="9">
                  <c:v>0.95860921801143151</c:v>
                </c:pt>
                <c:pt idx="10">
                  <c:v>#N/A</c:v>
                </c:pt>
                <c:pt idx="11">
                  <c:v>0.47808223764046581</c:v>
                </c:pt>
                <c:pt idx="12">
                  <c:v>-0.81728947462690926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CE6-4A37-A887-F394ACF73535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A_I'!$BE$69:$BQ$69</c:f>
              <c:numCache>
                <c:formatCode>General</c:formatCode>
                <c:ptCount val="13"/>
                <c:pt idx="0">
                  <c:v>0.41780618780115114</c:v>
                </c:pt>
                <c:pt idx="1">
                  <c:v>0.43054614860472307</c:v>
                </c:pt>
                <c:pt idx="2">
                  <c:v>0.58520744434943506</c:v>
                </c:pt>
                <c:pt idx="3">
                  <c:v>0.76246099941031253</c:v>
                </c:pt>
                <c:pt idx="4">
                  <c:v>0.71238905960565679</c:v>
                </c:pt>
                <c:pt idx="5">
                  <c:v>0.75840001936434176</c:v>
                </c:pt>
                <c:pt idx="6">
                  <c:v>#N/A</c:v>
                </c:pt>
                <c:pt idx="7">
                  <c:v>0.9124205338514052</c:v>
                </c:pt>
                <c:pt idx="8">
                  <c:v>#N/A</c:v>
                </c:pt>
                <c:pt idx="9">
                  <c:v>0.97649232939663555</c:v>
                </c:pt>
                <c:pt idx="10">
                  <c:v>#N/A</c:v>
                </c:pt>
                <c:pt idx="11">
                  <c:v>0.53953409689394416</c:v>
                </c:pt>
                <c:pt idx="12">
                  <c:v>-0.641925205810431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CE6-4A37-A887-F394ACF73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A_I'!$BD$8</c:f>
          <c:strCache>
            <c:ptCount val="1"/>
            <c:pt idx="0">
              <c:v>Empeltre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A_I'!$D$12:$P$12</c:f>
              <c:numCache>
                <c:formatCode>General</c:formatCode>
                <c:ptCount val="13"/>
                <c:pt idx="0">
                  <c:v>12.968649384276063</c:v>
                </c:pt>
                <c:pt idx="1">
                  <c:v>12.968316273137907</c:v>
                </c:pt>
                <c:pt idx="2">
                  <c:v>12.966507435062544</c:v>
                </c:pt>
                <c:pt idx="3">
                  <c:v>12.955013854662766</c:v>
                </c:pt>
                <c:pt idx="4">
                  <c:v>12.881208421841324</c:v>
                </c:pt>
                <c:pt idx="5">
                  <c:v>12.406816056022862</c:v>
                </c:pt>
                <c:pt idx="6">
                  <c:v>11.289201621532584</c:v>
                </c:pt>
                <c:pt idx="7">
                  <c:v>9.5984557021273975</c:v>
                </c:pt>
                <c:pt idx="8">
                  <c:v>8.2880969325284486</c:v>
                </c:pt>
                <c:pt idx="9">
                  <c:v>5.6001496412857614</c:v>
                </c:pt>
                <c:pt idx="10">
                  <c:v>4.5102974599283021</c:v>
                </c:pt>
                <c:pt idx="11">
                  <c:v>2.0911601087611613</c:v>
                </c:pt>
                <c:pt idx="12">
                  <c:v>-0.52265769609860613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A6-4E6C-84DD-75CB8F234C2C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A_I'!$D$43:$P$43</c:f>
              <c:numCache>
                <c:formatCode>General</c:formatCode>
                <c:ptCount val="13"/>
                <c:pt idx="0">
                  <c:v>1.9980961670360464</c:v>
                </c:pt>
                <c:pt idx="1">
                  <c:v>1.9980960773409659</c:v>
                </c:pt>
                <c:pt idx="2">
                  <c:v>1.9980947042657562</c:v>
                </c:pt>
                <c:pt idx="3">
                  <c:v>1.9980723868065711</c:v>
                </c:pt>
                <c:pt idx="4">
                  <c:v>1.9977089843255686</c:v>
                </c:pt>
                <c:pt idx="5">
                  <c:v>1.9917049044901218</c:v>
                </c:pt>
                <c:pt idx="6">
                  <c:v>1.9625143519125885</c:v>
                </c:pt>
                <c:pt idx="7">
                  <c:v>1.8809823970565318</c:v>
                </c:pt>
                <c:pt idx="8">
                  <c:v>1.7799811957272635</c:v>
                </c:pt>
                <c:pt idx="9">
                  <c:v>1.4212518999069899</c:v>
                </c:pt>
                <c:pt idx="10">
                  <c:v>1.1958054126971807</c:v>
                </c:pt>
                <c:pt idx="11">
                  <c:v>0.48305314324231369</c:v>
                </c:pt>
                <c:pt idx="12">
                  <c:v>-1.1995929714866378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A6-4E6C-84DD-75CB8F234C2C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A_I'!$D$74:$P$74</c:f>
              <c:numCache>
                <c:formatCode>General</c:formatCode>
                <c:ptCount val="13"/>
                <c:pt idx="0">
                  <c:v>0.38222271569680005</c:v>
                </c:pt>
                <c:pt idx="1">
                  <c:v>0.38222271569680005</c:v>
                </c:pt>
                <c:pt idx="2">
                  <c:v>0.38222271569679783</c:v>
                </c:pt>
                <c:pt idx="3">
                  <c:v>0.38222271569508037</c:v>
                </c:pt>
                <c:pt idx="4">
                  <c:v>0.38222271437357186</c:v>
                </c:pt>
                <c:pt idx="5">
                  <c:v>0.3822216974668699</c:v>
                </c:pt>
                <c:pt idx="6">
                  <c:v>0.38216782052361348</c:v>
                </c:pt>
                <c:pt idx="7">
                  <c:v>0.38144019745717012</c:v>
                </c:pt>
                <c:pt idx="8">
                  <c:v>0.37927710752320726</c:v>
                </c:pt>
                <c:pt idx="9">
                  <c:v>0.36123678233578366</c:v>
                </c:pt>
                <c:pt idx="10">
                  <c:v>0.34267420098209445</c:v>
                </c:pt>
                <c:pt idx="11">
                  <c:v>0.24928266670231441</c:v>
                </c:pt>
                <c:pt idx="12">
                  <c:v>-0.85862456829744338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A6-4E6C-84DD-75CB8F234C2C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A_I'!$BE$8:$BQ$8</c:f>
              <c:numCache>
                <c:formatCode>General</c:formatCode>
                <c:ptCount val="13"/>
                <c:pt idx="0">
                  <c:v>12.443235666666666</c:v>
                </c:pt>
                <c:pt idx="1">
                  <c:v>13.46054</c:v>
                </c:pt>
                <c:pt idx="2">
                  <c:v>13.306916666666666</c:v>
                </c:pt>
                <c:pt idx="3">
                  <c:v>13.124483333333336</c:v>
                </c:pt>
                <c:pt idx="4">
                  <c:v>12.602886666666668</c:v>
                </c:pt>
                <c:pt idx="5">
                  <c:v>11.770449999999999</c:v>
                </c:pt>
                <c:pt idx="6">
                  <c:v>10.714729</c:v>
                </c:pt>
                <c:pt idx="7">
                  <c:v>#N/A</c:v>
                </c:pt>
                <c:pt idx="8">
                  <c:v>8.5626630000000006</c:v>
                </c:pt>
                <c:pt idx="9">
                  <c:v>#N/A</c:v>
                </c:pt>
                <c:pt idx="10">
                  <c:v>4.9301550000000001</c:v>
                </c:pt>
                <c:pt idx="11">
                  <c:v>2.2101640000000002</c:v>
                </c:pt>
                <c:pt idx="12">
                  <c:v>-0.88532333333333335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A6-4E6C-84DD-75CB8F234C2C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A_I'!$BE$39:$BQ$39</c:f>
              <c:numCache>
                <c:formatCode>General</c:formatCode>
                <c:ptCount val="13"/>
                <c:pt idx="0">
                  <c:v>1.5147902909510422</c:v>
                </c:pt>
                <c:pt idx="1">
                  <c:v>1.5630090760148418</c:v>
                </c:pt>
                <c:pt idx="2">
                  <c:v>1.7896771599748198</c:v>
                </c:pt>
                <c:pt idx="3">
                  <c:v>2.0664276699234119</c:v>
                </c:pt>
                <c:pt idx="4">
                  <c:v>2.256714722726358</c:v>
                </c:pt>
                <c:pt idx="5">
                  <c:v>2.3298090290017717</c:v>
                </c:pt>
                <c:pt idx="6">
                  <c:v>#N/A</c:v>
                </c:pt>
                <c:pt idx="7">
                  <c:v>2.3024964685723806</c:v>
                </c:pt>
                <c:pt idx="8">
                  <c:v>#N/A</c:v>
                </c:pt>
                <c:pt idx="9">
                  <c:v>1.6811894618155432</c:v>
                </c:pt>
                <c:pt idx="10">
                  <c:v>#N/A</c:v>
                </c:pt>
                <c:pt idx="11">
                  <c:v>0.21559967599732979</c:v>
                </c:pt>
                <c:pt idx="12">
                  <c:v>-1.2723912592285127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A6-4E6C-84DD-75CB8F234C2C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A_I'!$BE$70:$BQ$70</c:f>
              <c:numCache>
                <c:formatCode>General</c:formatCode>
                <c:ptCount val="13"/>
                <c:pt idx="0">
                  <c:v>0.47483466602249996</c:v>
                </c:pt>
                <c:pt idx="1">
                  <c:v>0.48492724417999999</c:v>
                </c:pt>
                <c:pt idx="2">
                  <c:v>0.44331638812250002</c:v>
                </c:pt>
                <c:pt idx="3">
                  <c:v>0.39794382307999998</c:v>
                </c:pt>
                <c:pt idx="4">
                  <c:v>0.41270620506499994</c:v>
                </c:pt>
                <c:pt idx="5">
                  <c:v>0.40196855411249999</c:v>
                </c:pt>
                <c:pt idx="6">
                  <c:v>#N/A</c:v>
                </c:pt>
                <c:pt idx="7">
                  <c:v>0.46108015162500005</c:v>
                </c:pt>
                <c:pt idx="8">
                  <c:v>#N/A</c:v>
                </c:pt>
                <c:pt idx="9">
                  <c:v>0.34764145056000001</c:v>
                </c:pt>
                <c:pt idx="10">
                  <c:v>#N/A</c:v>
                </c:pt>
                <c:pt idx="11">
                  <c:v>5.2078602812499965E-2</c:v>
                </c:pt>
                <c:pt idx="12">
                  <c:v>-0.69845595741349387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A6-4E6C-84DD-75CB8F23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981227789004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A_I'!$C$8</c:f>
          <c:strCache>
            <c:ptCount val="1"/>
            <c:pt idx="0">
              <c:v>Arbosana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A_I'!$D$8:$P$8</c:f>
              <c:numCache>
                <c:formatCode>General</c:formatCode>
                <c:ptCount val="13"/>
                <c:pt idx="0">
                  <c:v>8.3585890798780405</c:v>
                </c:pt>
                <c:pt idx="1">
                  <c:v>8.3551347724233072</c:v>
                </c:pt>
                <c:pt idx="2">
                  <c:v>8.3454908801887626</c:v>
                </c:pt>
                <c:pt idx="3">
                  <c:v>8.3106649462033158</c:v>
                </c:pt>
                <c:pt idx="4">
                  <c:v>8.1821942947512696</c:v>
                </c:pt>
                <c:pt idx="5">
                  <c:v>7.6878758421422058</c:v>
                </c:pt>
                <c:pt idx="6">
                  <c:v>6.8248606290403737</c:v>
                </c:pt>
                <c:pt idx="7">
                  <c:v>5.6778690018174736</c:v>
                </c:pt>
                <c:pt idx="8">
                  <c:v>4.8264161241755739</c:v>
                </c:pt>
                <c:pt idx="9">
                  <c:v>3.106498751751039</c:v>
                </c:pt>
                <c:pt idx="10">
                  <c:v>2.4113657154314896</c:v>
                </c:pt>
                <c:pt idx="11">
                  <c:v>0.86690510543789223</c:v>
                </c:pt>
                <c:pt idx="12">
                  <c:v>-0.80463180277947577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3B-46EA-A0C7-18AE089B6D5C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A_I'!$D$39:$P$39</c:f>
              <c:numCache>
                <c:formatCode>General</c:formatCode>
                <c:ptCount val="13"/>
                <c:pt idx="0">
                  <c:v>4.1209228705209986</c:v>
                </c:pt>
                <c:pt idx="1">
                  <c:v>4.1208370267479335</c:v>
                </c:pt>
                <c:pt idx="2">
                  <c:v>4.1204532708314421</c:v>
                </c:pt>
                <c:pt idx="3">
                  <c:v>4.1183474395859569</c:v>
                </c:pt>
                <c:pt idx="4">
                  <c:v>4.1063887686899587</c:v>
                </c:pt>
                <c:pt idx="5">
                  <c:v>4.0359820553753245</c:v>
                </c:pt>
                <c:pt idx="6">
                  <c:v>3.8710214219259838</c:v>
                </c:pt>
                <c:pt idx="7">
                  <c:v>3.5971109169714319</c:v>
                </c:pt>
                <c:pt idx="8">
                  <c:v>3.3490822233163624</c:v>
                </c:pt>
                <c:pt idx="9">
                  <c:v>2.6642145542746496</c:v>
                </c:pt>
                <c:pt idx="10">
                  <c:v>2.2780813027667932</c:v>
                </c:pt>
                <c:pt idx="11">
                  <c:v>1.0543239052778546</c:v>
                </c:pt>
                <c:pt idx="12">
                  <c:v>-0.89426080125513996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3B-46EA-A0C7-18AE089B6D5C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A_I'!$D$70:$P$70</c:f>
              <c:numCache>
                <c:formatCode>General</c:formatCode>
                <c:ptCount val="13"/>
                <c:pt idx="0">
                  <c:v>1.9336789582249834</c:v>
                </c:pt>
                <c:pt idx="1">
                  <c:v>1.9336789582249834</c:v>
                </c:pt>
                <c:pt idx="2">
                  <c:v>1.9336789582249574</c:v>
                </c:pt>
                <c:pt idx="3">
                  <c:v>1.9336789582099989</c:v>
                </c:pt>
                <c:pt idx="4">
                  <c:v>1.9336789494985542</c:v>
                </c:pt>
                <c:pt idx="5">
                  <c:v>1.9336730607981034</c:v>
                </c:pt>
                <c:pt idx="6">
                  <c:v>1.9333706440507352</c:v>
                </c:pt>
                <c:pt idx="7">
                  <c:v>1.9356107097702326</c:v>
                </c:pt>
                <c:pt idx="8">
                  <c:v>1.922589831906677</c:v>
                </c:pt>
                <c:pt idx="9">
                  <c:v>1.8031152814154927</c:v>
                </c:pt>
                <c:pt idx="10">
                  <c:v>1.6689049526738275</c:v>
                </c:pt>
                <c:pt idx="11">
                  <c:v>0.93244189488146734</c:v>
                </c:pt>
                <c:pt idx="12">
                  <c:v>-0.93365789986331738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3B-46EA-A0C7-18AE089B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A_I'!$BD$9</c:f>
          <c:strCache>
            <c:ptCount val="1"/>
            <c:pt idx="0">
              <c:v>Frantoio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A_I'!$D$13:$P$13</c:f>
              <c:numCache>
                <c:formatCode>General</c:formatCode>
                <c:ptCount val="13"/>
                <c:pt idx="0">
                  <c:v>1.9284024384057574</c:v>
                </c:pt>
                <c:pt idx="1">
                  <c:v>1.9280631584281689</c:v>
                </c:pt>
                <c:pt idx="2">
                  <c:v>1.9268405213327306</c:v>
                </c:pt>
                <c:pt idx="3">
                  <c:v>1.921448297241821</c:v>
                </c:pt>
                <c:pt idx="4">
                  <c:v>1.8978665377341351</c:v>
                </c:pt>
                <c:pt idx="5">
                  <c:v>1.7984134043958595</c:v>
                </c:pt>
                <c:pt idx="6">
                  <c:v>1.6317410617385095</c:v>
                </c:pt>
                <c:pt idx="7">
                  <c:v>1.4320165565235414</c:v>
                </c:pt>
                <c:pt idx="8">
                  <c:v>1.2918057364995497</c:v>
                </c:pt>
                <c:pt idx="9">
                  <c:v>0.97920794698981883</c:v>
                </c:pt>
                <c:pt idx="10">
                  <c:v>0.81227976100868005</c:v>
                </c:pt>
                <c:pt idx="11">
                  <c:v>0.2029470033421131</c:v>
                </c:pt>
                <c:pt idx="12">
                  <c:v>-1.2251268957806958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A1-4BE5-A9F7-831C0E7297E5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A_I'!$D$44:$P$44</c:f>
              <c:numCache>
                <c:formatCode>General</c:formatCode>
                <c:ptCount val="13"/>
                <c:pt idx="0">
                  <c:v>5.2582828089960838</c:v>
                </c:pt>
                <c:pt idx="1">
                  <c:v>5.131424768799306</c:v>
                </c:pt>
                <c:pt idx="2">
                  <c:v>5.0223254853177952</c:v>
                </c:pt>
                <c:pt idx="3">
                  <c:v>4.8694235227379927</c:v>
                </c:pt>
                <c:pt idx="4">
                  <c:v>4.6637556009338477</c:v>
                </c:pt>
                <c:pt idx="5">
                  <c:v>4.3902657033865893</c:v>
                </c:pt>
                <c:pt idx="6">
                  <c:v>4.1993255204902677</c:v>
                </c:pt>
                <c:pt idx="7">
                  <c:v>3.9865294352533596</c:v>
                </c:pt>
                <c:pt idx="8">
                  <c:v>3.7915461787541944</c:v>
                </c:pt>
                <c:pt idx="9">
                  <c:v>3.1644497367312279</c:v>
                </c:pt>
                <c:pt idx="10">
                  <c:v>2.7813201574019604</c:v>
                </c:pt>
                <c:pt idx="11">
                  <c:v>1.5853692900512728</c:v>
                </c:pt>
                <c:pt idx="12">
                  <c:v>-0.16165565516483404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A1-4BE5-A9F7-831C0E7297E5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A_I'!$D$75:$P$75</c:f>
              <c:numCache>
                <c:formatCode>General</c:formatCode>
                <c:ptCount val="13"/>
                <c:pt idx="0">
                  <c:v>0.82866567788349987</c:v>
                </c:pt>
                <c:pt idx="1">
                  <c:v>0.82866567788349987</c:v>
                </c:pt>
                <c:pt idx="2">
                  <c:v>0.82866567788349987</c:v>
                </c:pt>
                <c:pt idx="3">
                  <c:v>0.82866567788349987</c:v>
                </c:pt>
                <c:pt idx="4">
                  <c:v>0.82866567788349976</c:v>
                </c:pt>
                <c:pt idx="5">
                  <c:v>0.8286656778614313</c:v>
                </c:pt>
                <c:pt idx="6">
                  <c:v>0.82866564505725104</c:v>
                </c:pt>
                <c:pt idx="7">
                  <c:v>0.82866127213886964</c:v>
                </c:pt>
                <c:pt idx="8">
                  <c:v>0.82861335964508342</c:v>
                </c:pt>
                <c:pt idx="9">
                  <c:v>0.82636459007663532</c:v>
                </c:pt>
                <c:pt idx="10">
                  <c:v>0.82027859788641655</c:v>
                </c:pt>
                <c:pt idx="11">
                  <c:v>0.71215009983990341</c:v>
                </c:pt>
                <c:pt idx="12">
                  <c:v>-0.75994153242705154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A1-4BE5-A9F7-831C0E7297E5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A_I'!$BE$9:$BQ$9</c:f>
              <c:numCache>
                <c:formatCode>General</c:formatCode>
                <c:ptCount val="13"/>
                <c:pt idx="0">
                  <c:v>2.758376133333333</c:v>
                </c:pt>
                <c:pt idx="1">
                  <c:v>2.2924029333333333</c:v>
                </c:pt>
                <c:pt idx="2">
                  <c:v>2.1505159958333335</c:v>
                </c:pt>
                <c:pt idx="3">
                  <c:v>2.004207333333333</c:v>
                </c:pt>
                <c:pt idx="4">
                  <c:v>1.7530294833333335</c:v>
                </c:pt>
                <c:pt idx="5">
                  <c:v>1.5546312833333331</c:v>
                </c:pt>
                <c:pt idx="6">
                  <c:v>1.4075930458333332</c:v>
                </c:pt>
                <c:pt idx="7">
                  <c:v>#N/A</c:v>
                </c:pt>
                <c:pt idx="8">
                  <c:v>1.1450852874999999</c:v>
                </c:pt>
                <c:pt idx="9">
                  <c:v>#N/A</c:v>
                </c:pt>
                <c:pt idx="10">
                  <c:v>0.82461994999999999</c:v>
                </c:pt>
                <c:pt idx="11">
                  <c:v>0.33632894166666671</c:v>
                </c:pt>
                <c:pt idx="12">
                  <c:v>-1.3433869166666668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AA1-4BE5-A9F7-831C0E7297E5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A_I'!$BE$40:$BQ$40</c:f>
              <c:numCache>
                <c:formatCode>General</c:formatCode>
                <c:ptCount val="13"/>
                <c:pt idx="0">
                  <c:v>5.3509237668609773</c:v>
                </c:pt>
                <c:pt idx="1">
                  <c:v>5.1094779433240376</c:v>
                </c:pt>
                <c:pt idx="2">
                  <c:v>4.9008730768428368</c:v>
                </c:pt>
                <c:pt idx="3">
                  <c:v>5.0220706813972313</c:v>
                </c:pt>
                <c:pt idx="4">
                  <c:v>4.7009150249422111</c:v>
                </c:pt>
                <c:pt idx="5">
                  <c:v>4.5401325439241775</c:v>
                </c:pt>
                <c:pt idx="6">
                  <c:v>#N/A</c:v>
                </c:pt>
                <c:pt idx="7">
                  <c:v>4.2336724999331539</c:v>
                </c:pt>
                <c:pt idx="8">
                  <c:v>#N/A</c:v>
                </c:pt>
                <c:pt idx="9">
                  <c:v>3.4271560298168207</c:v>
                </c:pt>
                <c:pt idx="10">
                  <c:v>#N/A</c:v>
                </c:pt>
                <c:pt idx="11">
                  <c:v>1.7141490194956399</c:v>
                </c:pt>
                <c:pt idx="12">
                  <c:v>-0.69715662885127816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AA1-4BE5-A9F7-831C0E7297E5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A_I'!$BE$71:$BQ$71</c:f>
              <c:numCache>
                <c:formatCode>General</c:formatCode>
                <c:ptCount val="13"/>
                <c:pt idx="0">
                  <c:v>0.67071090478987117</c:v>
                </c:pt>
                <c:pt idx="1">
                  <c:v>0.69009196223517832</c:v>
                </c:pt>
                <c:pt idx="2">
                  <c:v>0.76330763790398726</c:v>
                </c:pt>
                <c:pt idx="3">
                  <c:v>0.92349699527854723</c:v>
                </c:pt>
                <c:pt idx="4">
                  <c:v>1.0469315332187723</c:v>
                </c:pt>
                <c:pt idx="5">
                  <c:v>1.1479193997181645</c:v>
                </c:pt>
                <c:pt idx="6">
                  <c:v>#N/A</c:v>
                </c:pt>
                <c:pt idx="7">
                  <c:v>1.2818172625386737</c:v>
                </c:pt>
                <c:pt idx="8">
                  <c:v>#N/A</c:v>
                </c:pt>
                <c:pt idx="9">
                  <c:v>1.3433993383081657</c:v>
                </c:pt>
                <c:pt idx="10">
                  <c:v>#N/A</c:v>
                </c:pt>
                <c:pt idx="11">
                  <c:v>0.95087856144367933</c:v>
                </c:pt>
                <c:pt idx="12">
                  <c:v>-0.76057214363691183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AA1-4BE5-A9F7-831C0E72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A_I'!$BD$10</c:f>
          <c:strCache>
            <c:ptCount val="1"/>
            <c:pt idx="0">
              <c:v>Hojiblanca</c:v>
            </c:pt>
          </c:strCache>
        </c:strRef>
      </c:tx>
      <c:layout>
        <c:manualLayout>
          <c:xMode val="edge"/>
          <c:yMode val="edge"/>
          <c:x val="0.15016841120463237"/>
          <c:y val="2.9331503286859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3747944809651086"/>
          <c:w val="0.77307055888724552"/>
          <c:h val="0.61729451708444705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A_I'!$D$14:$P$14</c:f>
              <c:numCache>
                <c:formatCode>General</c:formatCode>
                <c:ptCount val="13"/>
                <c:pt idx="0">
                  <c:v>11.448312916222321</c:v>
                </c:pt>
                <c:pt idx="1">
                  <c:v>11.443719499057446</c:v>
                </c:pt>
                <c:pt idx="2">
                  <c:v>11.428775320951035</c:v>
                </c:pt>
                <c:pt idx="3">
                  <c:v>11.368000059179565</c:v>
                </c:pt>
                <c:pt idx="4">
                  <c:v>11.122050458162995</c:v>
                </c:pt>
                <c:pt idx="5">
                  <c:v>10.160086559259531</c:v>
                </c:pt>
                <c:pt idx="6">
                  <c:v>8.634393231549355</c:v>
                </c:pt>
                <c:pt idx="7">
                  <c:v>6.8913793980780902</c:v>
                </c:pt>
                <c:pt idx="8">
                  <c:v>5.7499633218353452</c:v>
                </c:pt>
                <c:pt idx="9">
                  <c:v>3.7016249291442178</c:v>
                </c:pt>
                <c:pt idx="10">
                  <c:v>2.9400537797087747</c:v>
                </c:pt>
                <c:pt idx="11">
                  <c:v>1.3298735414627909</c:v>
                </c:pt>
                <c:pt idx="12">
                  <c:v>-0.34709904506290618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67-4931-ADEA-43CD2521E02D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A_I'!$D$45:$P$45</c:f>
              <c:numCache>
                <c:formatCode>General</c:formatCode>
                <c:ptCount val="13"/>
                <c:pt idx="0">
                  <c:v>2.4703113242935801</c:v>
                </c:pt>
                <c:pt idx="1">
                  <c:v>2.4703113242935517</c:v>
                </c:pt>
                <c:pt idx="2">
                  <c:v>2.4703113242877937</c:v>
                </c:pt>
                <c:pt idx="3">
                  <c:v>2.4703113230809155</c:v>
                </c:pt>
                <c:pt idx="4">
                  <c:v>2.4703110617359485</c:v>
                </c:pt>
                <c:pt idx="5">
                  <c:v>2.4702523735946702</c:v>
                </c:pt>
                <c:pt idx="6">
                  <c:v>2.4686949260837672</c:v>
                </c:pt>
                <c:pt idx="7">
                  <c:v>2.4552334108623874</c:v>
                </c:pt>
                <c:pt idx="8">
                  <c:v>2.4236347517447574</c:v>
                </c:pt>
                <c:pt idx="9">
                  <c:v>2.2065531451995577</c:v>
                </c:pt>
                <c:pt idx="10">
                  <c:v>2.0222465498269804</c:v>
                </c:pt>
                <c:pt idx="11">
                  <c:v>1.1829681587800136</c:v>
                </c:pt>
                <c:pt idx="12">
                  <c:v>-0.7690658284343479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67-4931-ADEA-43CD2521E02D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A_I'!$D$76:$P$76</c:f>
              <c:numCache>
                <c:formatCode>General</c:formatCode>
                <c:ptCount val="13"/>
                <c:pt idx="0">
                  <c:v>0.51294813852299992</c:v>
                </c:pt>
                <c:pt idx="1">
                  <c:v>0.51294813852299992</c:v>
                </c:pt>
                <c:pt idx="2">
                  <c:v>0.5129481385229997</c:v>
                </c:pt>
                <c:pt idx="3">
                  <c:v>0.51294813852270038</c:v>
                </c:pt>
                <c:pt idx="4">
                  <c:v>0.51294813810261142</c:v>
                </c:pt>
                <c:pt idx="5">
                  <c:v>0.51294754243348928</c:v>
                </c:pt>
                <c:pt idx="6">
                  <c:v>0.51290062838684047</c:v>
                </c:pt>
                <c:pt idx="7">
                  <c:v>0.51204009789560012</c:v>
                </c:pt>
                <c:pt idx="8">
                  <c:v>0.49899056844477352</c:v>
                </c:pt>
                <c:pt idx="9">
                  <c:v>0.47377034157536996</c:v>
                </c:pt>
                <c:pt idx="10">
                  <c:v>0.42939828689817189</c:v>
                </c:pt>
                <c:pt idx="11">
                  <c:v>0.15056507011550546</c:v>
                </c:pt>
                <c:pt idx="12">
                  <c:v>-0.83092615923296331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67-4931-ADEA-43CD2521E02D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A_I'!$BE$10:$BQ$10</c:f>
              <c:numCache>
                <c:formatCode>General</c:formatCode>
                <c:ptCount val="13"/>
                <c:pt idx="0">
                  <c:v>11.714339109375</c:v>
                </c:pt>
                <c:pt idx="1">
                  <c:v>11.843425781250001</c:v>
                </c:pt>
                <c:pt idx="2">
                  <c:v>11.486712562499999</c:v>
                </c:pt>
                <c:pt idx="3">
                  <c:v>11.062438734375</c:v>
                </c:pt>
                <c:pt idx="4">
                  <c:v>10.231680375</c:v>
                </c:pt>
                <c:pt idx="5">
                  <c:v>9.2682643593749994</c:v>
                </c:pt>
                <c:pt idx="6">
                  <c:v>8.0143435312499989</c:v>
                </c:pt>
                <c:pt idx="7">
                  <c:v>#N/A</c:v>
                </c:pt>
                <c:pt idx="8">
                  <c:v>6.398798109374999</c:v>
                </c:pt>
                <c:pt idx="9">
                  <c:v>#N/A</c:v>
                </c:pt>
                <c:pt idx="10">
                  <c:v>3.5707517343750004</c:v>
                </c:pt>
                <c:pt idx="11">
                  <c:v>1.4499361406250002</c:v>
                </c:pt>
                <c:pt idx="12">
                  <c:v>-1.0946578124999999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67-4931-ADEA-43CD2521E02D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A_I'!$BE$41:$BQ$41</c:f>
              <c:numCache>
                <c:formatCode>General</c:formatCode>
                <c:ptCount val="13"/>
                <c:pt idx="0">
                  <c:v>1.8000942066776817</c:v>
                </c:pt>
                <c:pt idx="1">
                  <c:v>2.0270017349900358</c:v>
                </c:pt>
                <c:pt idx="2">
                  <c:v>2.1408607559033386</c:v>
                </c:pt>
                <c:pt idx="3">
                  <c:v>2.176692181350496</c:v>
                </c:pt>
                <c:pt idx="4">
                  <c:v>2.2986410339841332</c:v>
                </c:pt>
                <c:pt idx="5">
                  <c:v>2.295885787055385</c:v>
                </c:pt>
                <c:pt idx="6">
                  <c:v>#N/A</c:v>
                </c:pt>
                <c:pt idx="7">
                  <c:v>2.2787235912437169</c:v>
                </c:pt>
                <c:pt idx="8">
                  <c:v>#N/A</c:v>
                </c:pt>
                <c:pt idx="9">
                  <c:v>1.9950561829278708</c:v>
                </c:pt>
                <c:pt idx="10">
                  <c:v>#N/A</c:v>
                </c:pt>
                <c:pt idx="11">
                  <c:v>1.0696683103346663</c:v>
                </c:pt>
                <c:pt idx="12">
                  <c:v>-0.60869550680287243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67-4931-ADEA-43CD2521E02D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A_I'!$BE$72:$BQ$72</c:f>
              <c:numCache>
                <c:formatCode>General</c:formatCode>
                <c:ptCount val="13"/>
                <c:pt idx="0">
                  <c:v>0.65493095662879119</c:v>
                </c:pt>
                <c:pt idx="1">
                  <c:v>0.71529282245838455</c:v>
                </c:pt>
                <c:pt idx="2">
                  <c:v>0.53123881641468074</c:v>
                </c:pt>
                <c:pt idx="3">
                  <c:v>0.51960672691203069</c:v>
                </c:pt>
                <c:pt idx="4">
                  <c:v>0.52930946922975974</c:v>
                </c:pt>
                <c:pt idx="5">
                  <c:v>0.52881609761579695</c:v>
                </c:pt>
                <c:pt idx="6">
                  <c:v>#N/A</c:v>
                </c:pt>
                <c:pt idx="7">
                  <c:v>0.48601052524480404</c:v>
                </c:pt>
                <c:pt idx="8">
                  <c:v>#N/A</c:v>
                </c:pt>
                <c:pt idx="9">
                  <c:v>0.41848076648720423</c:v>
                </c:pt>
                <c:pt idx="10">
                  <c:v>#N/A</c:v>
                </c:pt>
                <c:pt idx="11">
                  <c:v>0.29465529861352818</c:v>
                </c:pt>
                <c:pt idx="12">
                  <c:v>-0.75151993781043491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67-4931-ADEA-43CD2521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A_I'!$BD$11</c:f>
          <c:strCache>
            <c:ptCount val="1"/>
            <c:pt idx="0">
              <c:v>Koroneiki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A_I'!$D$15:$P$15</c:f>
              <c:numCache>
                <c:formatCode>General</c:formatCode>
                <c:ptCount val="13"/>
                <c:pt idx="0">
                  <c:v>7.295094839499626</c:v>
                </c:pt>
                <c:pt idx="1">
                  <c:v>7.2734844551571687</c:v>
                </c:pt>
                <c:pt idx="2">
                  <c:v>7.2368452450591825</c:v>
                </c:pt>
                <c:pt idx="3">
                  <c:v>7.1474375139171071</c:v>
                </c:pt>
                <c:pt idx="4">
                  <c:v>6.9244887069703767</c:v>
                </c:pt>
                <c:pt idx="5">
                  <c:v>6.3429542907651388</c:v>
                </c:pt>
                <c:pt idx="6">
                  <c:v>5.5631333687184572</c:v>
                </c:pt>
                <c:pt idx="7">
                  <c:v>4.6508426512950649</c:v>
                </c:pt>
                <c:pt idx="8">
                  <c:v>3.9991127281092673</c:v>
                </c:pt>
                <c:pt idx="9">
                  <c:v>2.6745711933475262</c:v>
                </c:pt>
                <c:pt idx="10">
                  <c:v>2.1263229413378744</c:v>
                </c:pt>
                <c:pt idx="11">
                  <c:v>0.87718579221232007</c:v>
                </c:pt>
                <c:pt idx="12">
                  <c:v>-0.5075649957431172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1D-4360-834F-44C556E96B22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A_I'!$D$46:$P$46</c:f>
              <c:numCache>
                <c:formatCode>General</c:formatCode>
                <c:ptCount val="13"/>
                <c:pt idx="0">
                  <c:v>6.6522784457864033</c:v>
                </c:pt>
                <c:pt idx="1">
                  <c:v>6.6519822923484169</c:v>
                </c:pt>
                <c:pt idx="2">
                  <c:v>6.6511340714300138</c:v>
                </c:pt>
                <c:pt idx="3">
                  <c:v>6.6469234212477968</c:v>
                </c:pt>
                <c:pt idx="4">
                  <c:v>6.6265195768691942</c:v>
                </c:pt>
                <c:pt idx="5">
                  <c:v>6.51535890325398</c:v>
                </c:pt>
                <c:pt idx="6">
                  <c:v>6.231831404943363</c:v>
                </c:pt>
                <c:pt idx="7">
                  <c:v>5.7158614959268741</c:v>
                </c:pt>
                <c:pt idx="8">
                  <c:v>5.2285301173847438</c:v>
                </c:pt>
                <c:pt idx="9">
                  <c:v>3.9224280275561019</c:v>
                </c:pt>
                <c:pt idx="10">
                  <c:v>3.268015021605617</c:v>
                </c:pt>
                <c:pt idx="11">
                  <c:v>1.5530577921314108</c:v>
                </c:pt>
                <c:pt idx="12">
                  <c:v>-0.59427661235595342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1D-4360-834F-44C556E96B22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A_I'!$D$77:$P$77</c:f>
              <c:numCache>
                <c:formatCode>General</c:formatCode>
                <c:ptCount val="13"/>
                <c:pt idx="0">
                  <c:v>0.37731499017347497</c:v>
                </c:pt>
                <c:pt idx="1">
                  <c:v>0.37731499017347497</c:v>
                </c:pt>
                <c:pt idx="2">
                  <c:v>0.37731499017347497</c:v>
                </c:pt>
                <c:pt idx="3">
                  <c:v>0.37731499017347497</c:v>
                </c:pt>
                <c:pt idx="4">
                  <c:v>0.37731499017347397</c:v>
                </c:pt>
                <c:pt idx="5">
                  <c:v>0.37731499013891973</c:v>
                </c:pt>
                <c:pt idx="6">
                  <c:v>0.37731576340028666</c:v>
                </c:pt>
                <c:pt idx="7">
                  <c:v>0.37730241895951266</c:v>
                </c:pt>
                <c:pt idx="8">
                  <c:v>0.37720370278005055</c:v>
                </c:pt>
                <c:pt idx="9">
                  <c:v>0.37464868406259</c:v>
                </c:pt>
                <c:pt idx="10">
                  <c:v>0.36970742732971562</c:v>
                </c:pt>
                <c:pt idx="11">
                  <c:v>0.32020069113753935</c:v>
                </c:pt>
                <c:pt idx="12">
                  <c:v>-0.35224690558457783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1D-4360-834F-44C556E96B22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A_I'!$BE$11:$BQ$11</c:f>
              <c:numCache>
                <c:formatCode>General</c:formatCode>
                <c:ptCount val="13"/>
                <c:pt idx="0">
                  <c:v>6.9000395624999999</c:v>
                </c:pt>
                <c:pt idx="1">
                  <c:v>7.8837402000000001</c:v>
                </c:pt>
                <c:pt idx="2">
                  <c:v>7.7975722125000004</c:v>
                </c:pt>
                <c:pt idx="3">
                  <c:v>7.1400761250000002</c:v>
                </c:pt>
                <c:pt idx="4">
                  <c:v>6.7218319999999991</c:v>
                </c:pt>
                <c:pt idx="5">
                  <c:v>5.4289407375000005</c:v>
                </c:pt>
                <c:pt idx="6">
                  <c:v>5.339636791666666</c:v>
                </c:pt>
                <c:pt idx="7">
                  <c:v>#N/A</c:v>
                </c:pt>
                <c:pt idx="8">
                  <c:v>3.8741615208333329</c:v>
                </c:pt>
                <c:pt idx="9">
                  <c:v>#N/A</c:v>
                </c:pt>
                <c:pt idx="10">
                  <c:v>2.684577</c:v>
                </c:pt>
                <c:pt idx="11">
                  <c:v>1.1660735625</c:v>
                </c:pt>
                <c:pt idx="12">
                  <c:v>-1.0990323750000002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1D-4360-834F-44C556E96B22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A_I'!$BE$42:$BQ$42</c:f>
              <c:numCache>
                <c:formatCode>General</c:formatCode>
                <c:ptCount val="13"/>
                <c:pt idx="0">
                  <c:v>6.0175831247704741</c:v>
                </c:pt>
                <c:pt idx="1">
                  <c:v>6.4235892437549396</c:v>
                </c:pt>
                <c:pt idx="2">
                  <c:v>6.6860371966460992</c:v>
                </c:pt>
                <c:pt idx="3">
                  <c:v>6.7430766383159773</c:v>
                </c:pt>
                <c:pt idx="4">
                  <c:v>6.6672919210080854</c:v>
                </c:pt>
                <c:pt idx="5">
                  <c:v>6.4589384637242953</c:v>
                </c:pt>
                <c:pt idx="6">
                  <c:v>7.1804098776938092</c:v>
                </c:pt>
                <c:pt idx="7">
                  <c:v>4.8447899941082389</c:v>
                </c:pt>
                <c:pt idx="8">
                  <c:v>6.1699879957038304</c:v>
                </c:pt>
                <c:pt idx="9">
                  <c:v>3.7828572928013968</c:v>
                </c:pt>
                <c:pt idx="10">
                  <c:v>3.9331786288225001</c:v>
                </c:pt>
                <c:pt idx="11">
                  <c:v>1.5594488523251013</c:v>
                </c:pt>
                <c:pt idx="12">
                  <c:v>-0.91803698439709414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1D-4360-834F-44C556E96B22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A_I'!$BE$73:$BQ$73</c:f>
              <c:numCache>
                <c:formatCode>General</c:formatCode>
                <c:ptCount val="13"/>
                <c:pt idx="0">
                  <c:v>0.17171700725584665</c:v>
                </c:pt>
                <c:pt idx="1">
                  <c:v>0.26127567194027618</c:v>
                </c:pt>
                <c:pt idx="2">
                  <c:v>0.30703998264671467</c:v>
                </c:pt>
                <c:pt idx="3">
                  <c:v>0.36757367588129214</c:v>
                </c:pt>
                <c:pt idx="4">
                  <c:v>0.44973652502128747</c:v>
                </c:pt>
                <c:pt idx="5">
                  <c:v>0.49548137802486192</c:v>
                </c:pt>
                <c:pt idx="6">
                  <c:v>#N/A</c:v>
                </c:pt>
                <c:pt idx="7">
                  <c:v>0.48690892442443956</c:v>
                </c:pt>
                <c:pt idx="8">
                  <c:v>#N/A</c:v>
                </c:pt>
                <c:pt idx="9">
                  <c:v>0.45503324397504114</c:v>
                </c:pt>
                <c:pt idx="10">
                  <c:v>#N/A</c:v>
                </c:pt>
                <c:pt idx="11">
                  <c:v>0.29573865235752655</c:v>
                </c:pt>
                <c:pt idx="12">
                  <c:v>-0.42282281556754037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1D-4360-834F-44C556E9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2197664947054034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A_I'!$BD$12</c:f>
          <c:strCache>
            <c:ptCount val="1"/>
            <c:pt idx="0">
              <c:v>Martina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A_I'!$D$16:$P$16</c:f>
              <c:numCache>
                <c:formatCode>General</c:formatCode>
                <c:ptCount val="13"/>
                <c:pt idx="0">
                  <c:v>2.2247084607554877</c:v>
                </c:pt>
                <c:pt idx="1">
                  <c:v>2.2247084607100742</c:v>
                </c:pt>
                <c:pt idx="2">
                  <c:v>2.2247084580165581</c:v>
                </c:pt>
                <c:pt idx="3">
                  <c:v>2.2247082955062272</c:v>
                </c:pt>
                <c:pt idx="4">
                  <c:v>2.2246984478978176</c:v>
                </c:pt>
                <c:pt idx="5">
                  <c:v>2.2240843777531589</c:v>
                </c:pt>
                <c:pt idx="6">
                  <c:v>2.216819348239107</c:v>
                </c:pt>
                <c:pt idx="7">
                  <c:v>2.1792605802432456</c:v>
                </c:pt>
                <c:pt idx="8">
                  <c:v>2.1129148742077746</c:v>
                </c:pt>
                <c:pt idx="9">
                  <c:v>1.7853024780753366</c:v>
                </c:pt>
                <c:pt idx="10">
                  <c:v>1.535544263737449</c:v>
                </c:pt>
                <c:pt idx="11">
                  <c:v>0.62331901082589702</c:v>
                </c:pt>
                <c:pt idx="12">
                  <c:v>-0.88840942913996312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AC-4F62-852A-7635C1F9FB2B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A_I'!$D$47:$P$47</c:f>
              <c:numCache>
                <c:formatCode>General</c:formatCode>
                <c:ptCount val="13"/>
                <c:pt idx="0">
                  <c:v>9.6427060445399313</c:v>
                </c:pt>
                <c:pt idx="1">
                  <c:v>9.6423998669890807</c:v>
                </c:pt>
                <c:pt idx="2">
                  <c:v>9.6408807906156007</c:v>
                </c:pt>
                <c:pt idx="3">
                  <c:v>9.6325058305410209</c:v>
                </c:pt>
                <c:pt idx="4">
                  <c:v>9.6401019015786069</c:v>
                </c:pt>
                <c:pt idx="5">
                  <c:v>9.472766238807468</c:v>
                </c:pt>
                <c:pt idx="6">
                  <c:v>8.6075202619197775</c:v>
                </c:pt>
                <c:pt idx="7">
                  <c:v>7.4779345347218422</c:v>
                </c:pt>
                <c:pt idx="8">
                  <c:v>6.5630094229129066</c:v>
                </c:pt>
                <c:pt idx="9">
                  <c:v>4.566814857987354</c:v>
                </c:pt>
                <c:pt idx="10">
                  <c:v>3.6555845302027579</c:v>
                </c:pt>
                <c:pt idx="11">
                  <c:v>1.7327828869166269</c:v>
                </c:pt>
                <c:pt idx="12">
                  <c:v>-0.48528263612352635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AC-4F62-852A-7635C1F9FB2B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A_I'!$D$78:$P$78</c:f>
              <c:numCache>
                <c:formatCode>General</c:formatCode>
                <c:ptCount val="13"/>
                <c:pt idx="0">
                  <c:v>4.2224610123725341</c:v>
                </c:pt>
                <c:pt idx="1">
                  <c:v>4.222460902710111</c:v>
                </c:pt>
                <c:pt idx="2">
                  <c:v>4.2224589866732396</c:v>
                </c:pt>
                <c:pt idx="3">
                  <c:v>4.2224226296813576</c:v>
                </c:pt>
                <c:pt idx="4">
                  <c:v>4.2217416783431476</c:v>
                </c:pt>
                <c:pt idx="5">
                  <c:v>4.2086592336719297</c:v>
                </c:pt>
                <c:pt idx="6">
                  <c:v>4.1326122921625421</c:v>
                </c:pt>
                <c:pt idx="7">
                  <c:v>3.9119262410999021</c:v>
                </c:pt>
                <c:pt idx="8">
                  <c:v>3.6483044929062256</c:v>
                </c:pt>
                <c:pt idx="9">
                  <c:v>2.8144775594978815</c:v>
                </c:pt>
                <c:pt idx="10">
                  <c:v>2.347555365052965</c:v>
                </c:pt>
                <c:pt idx="11">
                  <c:v>1.0068619373884955</c:v>
                </c:pt>
                <c:pt idx="12">
                  <c:v>-0.85743237112924575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9AC-4F62-852A-7635C1F9FB2B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A_I'!$BE$12:$BQ$12</c:f>
              <c:numCache>
                <c:formatCode>General</c:formatCode>
                <c:ptCount val="13"/>
                <c:pt idx="0">
                  <c:v>1.0742620000000001</c:v>
                </c:pt>
                <c:pt idx="1">
                  <c:v>1.4474875</c:v>
                </c:pt>
                <c:pt idx="2">
                  <c:v>2.0612849999999998</c:v>
                </c:pt>
                <c:pt idx="3">
                  <c:v>2.0762040000000002</c:v>
                </c:pt>
                <c:pt idx="4">
                  <c:v>2.2517530000000003</c:v>
                </c:pt>
                <c:pt idx="5">
                  <c:v>2.3574169999999999</c:v>
                </c:pt>
                <c:pt idx="6">
                  <c:v>2.336732</c:v>
                </c:pt>
                <c:pt idx="7">
                  <c:v>#N/A</c:v>
                </c:pt>
                <c:pt idx="8">
                  <c:v>2.1744094999999999</c:v>
                </c:pt>
                <c:pt idx="9">
                  <c:v>#N/A</c:v>
                </c:pt>
                <c:pt idx="10">
                  <c:v>1.4942279999999997</c:v>
                </c:pt>
                <c:pt idx="11">
                  <c:v>0.63052850000000005</c:v>
                </c:pt>
                <c:pt idx="12">
                  <c:v>-0.88458999999999988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9AC-4F62-852A-7635C1F9FB2B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A_I'!$BE$43:$BQ$43</c:f>
              <c:numCache>
                <c:formatCode>General</c:formatCode>
                <c:ptCount val="13"/>
                <c:pt idx="0">
                  <c:v>8.8867483828205618</c:v>
                </c:pt>
                <c:pt idx="1">
                  <c:v>10.08461113104986</c:v>
                </c:pt>
                <c:pt idx="2">
                  <c:v>10.171689406103306</c:v>
                </c:pt>
                <c:pt idx="3">
                  <c:v>9.9112859545246543</c:v>
                </c:pt>
                <c:pt idx="4">
                  <c:v>9.5345800554840281</c:v>
                </c:pt>
                <c:pt idx="5">
                  <c:v>8.8854699978257567</c:v>
                </c:pt>
                <c:pt idx="6">
                  <c:v>10.236297974354835</c:v>
                </c:pt>
                <c:pt idx="7">
                  <c:v>5.967513506230012</c:v>
                </c:pt>
                <c:pt idx="8">
                  <c:v>8.0883841527805291</c:v>
                </c:pt>
                <c:pt idx="9">
                  <c:v>4.0955647613451909</c:v>
                </c:pt>
                <c:pt idx="10">
                  <c:v>4.7972342708772571</c:v>
                </c:pt>
                <c:pt idx="11">
                  <c:v>1.8856824595133435</c:v>
                </c:pt>
                <c:pt idx="12">
                  <c:v>-0.74743421884891481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9AC-4F62-852A-7635C1F9FB2B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A_I'!$BE$74:$BQ$74</c:f>
              <c:numCache>
                <c:formatCode>General</c:formatCode>
                <c:ptCount val="13"/>
                <c:pt idx="0">
                  <c:v>3.5352488447196633</c:v>
                </c:pt>
                <c:pt idx="1">
                  <c:v>3.947864441385204</c:v>
                </c:pt>
                <c:pt idx="2">
                  <c:v>4.1736419986392139</c:v>
                </c:pt>
                <c:pt idx="3">
                  <c:v>4.215102496925641</c:v>
                </c:pt>
                <c:pt idx="4">
                  <c:v>4.1628274047633447</c:v>
                </c:pt>
                <c:pt idx="5">
                  <c:v>3.9300566610763408</c:v>
                </c:pt>
                <c:pt idx="6">
                  <c:v>#N/A</c:v>
                </c:pt>
                <c:pt idx="7">
                  <c:v>3.4295013111174</c:v>
                </c:pt>
                <c:pt idx="8">
                  <c:v>#N/A</c:v>
                </c:pt>
                <c:pt idx="9">
                  <c:v>2.6876321706423165</c:v>
                </c:pt>
                <c:pt idx="10">
                  <c:v>#N/A</c:v>
                </c:pt>
                <c:pt idx="11">
                  <c:v>1.1479676603930453</c:v>
                </c:pt>
                <c:pt idx="12">
                  <c:v>-1.008687056483117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9AC-4F62-852A-7635C1F9F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164594080912300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A_I'!$BD$13</c:f>
          <c:strCache>
            <c:ptCount val="1"/>
            <c:pt idx="0">
              <c:v>Manzanilla de Sevilla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A_I'!$D$17:$P$17</c:f>
              <c:numCache>
                <c:formatCode>General</c:formatCode>
                <c:ptCount val="13"/>
                <c:pt idx="0">
                  <c:v>2.2120142161432339</c:v>
                </c:pt>
                <c:pt idx="1">
                  <c:v>2.2120142159103167</c:v>
                </c:pt>
                <c:pt idx="2">
                  <c:v>2.2120142046028994</c:v>
                </c:pt>
                <c:pt idx="3">
                  <c:v>2.2120136328647546</c:v>
                </c:pt>
                <c:pt idx="4">
                  <c:v>2.2119839870091762</c:v>
                </c:pt>
                <c:pt idx="5">
                  <c:v>2.2103995684162654</c:v>
                </c:pt>
                <c:pt idx="6">
                  <c:v>2.1941375669610363</c:v>
                </c:pt>
                <c:pt idx="7">
                  <c:v>2.1226389754272361</c:v>
                </c:pt>
                <c:pt idx="8">
                  <c:v>2.0125786745808161</c:v>
                </c:pt>
                <c:pt idx="9">
                  <c:v>1.5603844970757283</c:v>
                </c:pt>
                <c:pt idx="10">
                  <c:v>1.2574601766441231</c:v>
                </c:pt>
                <c:pt idx="11">
                  <c:v>0.25441224457149048</c:v>
                </c:pt>
                <c:pt idx="12">
                  <c:v>-1.3107226805793786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E3-46D8-A64F-06AA2CB24672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A_I'!$D$48:$P$48</c:f>
              <c:numCache>
                <c:formatCode>General</c:formatCode>
                <c:ptCount val="13"/>
                <c:pt idx="0">
                  <c:v>2.5354822053114723</c:v>
                </c:pt>
                <c:pt idx="1">
                  <c:v>2.5354822047020642</c:v>
                </c:pt>
                <c:pt idx="2">
                  <c:v>2.5354821807215755</c:v>
                </c:pt>
                <c:pt idx="3">
                  <c:v>2.5354812027245957</c:v>
                </c:pt>
                <c:pt idx="4">
                  <c:v>2.5354405488168639</c:v>
                </c:pt>
                <c:pt idx="5">
                  <c:v>2.5336670974066329</c:v>
                </c:pt>
                <c:pt idx="6">
                  <c:v>2.5167295510447536</c:v>
                </c:pt>
                <c:pt idx="7">
                  <c:v>2.4449259360936568</c:v>
                </c:pt>
                <c:pt idx="8">
                  <c:v>2.3319634967629077</c:v>
                </c:pt>
                <c:pt idx="9">
                  <c:v>1.8446778808275464</c:v>
                </c:pt>
                <c:pt idx="10">
                  <c:v>1.5118346147310295</c:v>
                </c:pt>
                <c:pt idx="11">
                  <c:v>0.37270282854914744</c:v>
                </c:pt>
                <c:pt idx="12">
                  <c:v>-1.7341279356267989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E3-46D8-A64F-06AA2CB24672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A_I'!$D$79:$P$79</c:f>
              <c:numCache>
                <c:formatCode>General</c:formatCode>
                <c:ptCount val="13"/>
                <c:pt idx="0">
                  <c:v>1.3803736029143334</c:v>
                </c:pt>
                <c:pt idx="1">
                  <c:v>1.3803736029143334</c:v>
                </c:pt>
                <c:pt idx="2">
                  <c:v>1.3803736029143299</c:v>
                </c:pt>
                <c:pt idx="3">
                  <c:v>1.38037360291307</c:v>
                </c:pt>
                <c:pt idx="4">
                  <c:v>1.3803736021019255</c:v>
                </c:pt>
                <c:pt idx="5">
                  <c:v>1.3803756982644193</c:v>
                </c:pt>
                <c:pt idx="6">
                  <c:v>1.3735923469994944</c:v>
                </c:pt>
                <c:pt idx="7">
                  <c:v>1.3773019932259833</c:v>
                </c:pt>
                <c:pt idx="8">
                  <c:v>1.3686539989860274</c:v>
                </c:pt>
                <c:pt idx="9">
                  <c:v>1.2813857462874501</c:v>
                </c:pt>
                <c:pt idx="10">
                  <c:v>1.1959112093359927</c:v>
                </c:pt>
                <c:pt idx="11">
                  <c:v>0.6693324788770848</c:v>
                </c:pt>
                <c:pt idx="12">
                  <c:v>-1.009910689908605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E3-46D8-A64F-06AA2CB24672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A_I'!$BE$13:$BQ$13</c:f>
              <c:numCache>
                <c:formatCode>General</c:formatCode>
                <c:ptCount val="13"/>
                <c:pt idx="0">
                  <c:v>2.422892</c:v>
                </c:pt>
                <c:pt idx="1">
                  <c:v>2.3557866666666669</c:v>
                </c:pt>
                <c:pt idx="2">
                  <c:v>2.2939076666666667</c:v>
                </c:pt>
                <c:pt idx="3">
                  <c:v>2.3329720000000003</c:v>
                </c:pt>
                <c:pt idx="4">
                  <c:v>2.3244233333333333</c:v>
                </c:pt>
                <c:pt idx="5">
                  <c:v>2.2437043333333335</c:v>
                </c:pt>
                <c:pt idx="6">
                  <c:v>1.9614333333333336</c:v>
                </c:pt>
                <c:pt idx="7">
                  <c:v>#N/A</c:v>
                </c:pt>
                <c:pt idx="8">
                  <c:v>1.6136276666666667</c:v>
                </c:pt>
                <c:pt idx="9">
                  <c:v>#N/A</c:v>
                </c:pt>
                <c:pt idx="10">
                  <c:v>1.2333923333333332</c:v>
                </c:pt>
                <c:pt idx="11">
                  <c:v>0.52015400000000001</c:v>
                </c:pt>
                <c:pt idx="12">
                  <c:v>-1.4412999999999998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2E3-46D8-A64F-06AA2CB24672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A_I'!$BE$44:$BQ$44</c:f>
              <c:numCache>
                <c:formatCode>General</c:formatCode>
                <c:ptCount val="13"/>
                <c:pt idx="0">
                  <c:v>2.1808662969283219</c:v>
                </c:pt>
                <c:pt idx="1">
                  <c:v>2.3688993575903377</c:v>
                </c:pt>
                <c:pt idx="2">
                  <c:v>2.5255853200319973</c:v>
                </c:pt>
                <c:pt idx="3">
                  <c:v>2.6335731470340753</c:v>
                </c:pt>
                <c:pt idx="4">
                  <c:v>2.724793502639077</c:v>
                </c:pt>
                <c:pt idx="5">
                  <c:v>2.6941744152951626</c:v>
                </c:pt>
                <c:pt idx="6">
                  <c:v>#N/A</c:v>
                </c:pt>
                <c:pt idx="7">
                  <c:v>2.4690033146535422</c:v>
                </c:pt>
                <c:pt idx="8">
                  <c:v>#N/A</c:v>
                </c:pt>
                <c:pt idx="9">
                  <c:v>1.9712618205441803</c:v>
                </c:pt>
                <c:pt idx="10">
                  <c:v>#N/A</c:v>
                </c:pt>
                <c:pt idx="11">
                  <c:v>0.35114144041894152</c:v>
                </c:pt>
                <c:pt idx="12">
                  <c:v>-1.9264850146540349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2E3-46D8-A64F-06AA2CB24672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A_I'!$BE$75:$BQ$75</c:f>
              <c:numCache>
                <c:formatCode>General</c:formatCode>
                <c:ptCount val="13"/>
                <c:pt idx="0">
                  <c:v>0.90789883631395529</c:v>
                </c:pt>
                <c:pt idx="1">
                  <c:v>1.1016501700623018</c:v>
                </c:pt>
                <c:pt idx="2">
                  <c:v>1.3247704917003462</c:v>
                </c:pt>
                <c:pt idx="3">
                  <c:v>1.4522436176295253</c:v>
                </c:pt>
                <c:pt idx="4">
                  <c:v>1.6055247201992693</c:v>
                </c:pt>
                <c:pt idx="5">
                  <c:v>1.6051623051133799</c:v>
                </c:pt>
                <c:pt idx="6">
                  <c:v>#N/A</c:v>
                </c:pt>
                <c:pt idx="7">
                  <c:v>1.5524412379339942</c:v>
                </c:pt>
                <c:pt idx="8">
                  <c:v>#N/A</c:v>
                </c:pt>
                <c:pt idx="9">
                  <c:v>1.4063675900977932</c:v>
                </c:pt>
                <c:pt idx="10">
                  <c:v>#N/A</c:v>
                </c:pt>
                <c:pt idx="11">
                  <c:v>0.69324311800807203</c:v>
                </c:pt>
                <c:pt idx="12">
                  <c:v>-1.0784435220960147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2E3-46D8-A64F-06AA2CB24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025251153950581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A_I'!$BD$14</c:f>
          <c:strCache>
            <c:ptCount val="1"/>
            <c:pt idx="0">
              <c:v>Picual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A_I'!$D$18:$P$18</c:f>
              <c:numCache>
                <c:formatCode>General</c:formatCode>
                <c:ptCount val="13"/>
                <c:pt idx="0">
                  <c:v>11.966240285095649</c:v>
                </c:pt>
                <c:pt idx="1">
                  <c:v>11.965743325171667</c:v>
                </c:pt>
                <c:pt idx="2">
                  <c:v>11.963420093990836</c:v>
                </c:pt>
                <c:pt idx="3">
                  <c:v>11.950315645560229</c:v>
                </c:pt>
                <c:pt idx="4">
                  <c:v>11.875014841590557</c:v>
                </c:pt>
                <c:pt idx="5">
                  <c:v>11.438538649855829</c:v>
                </c:pt>
                <c:pt idx="6">
                  <c:v>10.469466308684051</c:v>
                </c:pt>
                <c:pt idx="7">
                  <c:v>9.0214298078485129</c:v>
                </c:pt>
                <c:pt idx="8">
                  <c:v>7.8775529253212211</c:v>
                </c:pt>
                <c:pt idx="9">
                  <c:v>5.4144779464426129</c:v>
                </c:pt>
                <c:pt idx="10">
                  <c:v>4.3624862052216233</c:v>
                </c:pt>
                <c:pt idx="11">
                  <c:v>1.9226693316005325</c:v>
                </c:pt>
                <c:pt idx="12">
                  <c:v>-0.82068809443458546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F2-4B0C-B8E4-26BF3390E1D0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A_I'!$D$49:$P$49</c:f>
              <c:numCache>
                <c:formatCode>General</c:formatCode>
                <c:ptCount val="13"/>
                <c:pt idx="0">
                  <c:v>4.5764402184242021</c:v>
                </c:pt>
                <c:pt idx="1">
                  <c:v>4.5033776955237013</c:v>
                </c:pt>
                <c:pt idx="2">
                  <c:v>4.4293485016130987</c:v>
                </c:pt>
                <c:pt idx="3">
                  <c:v>4.3126217890351288</c:v>
                </c:pt>
                <c:pt idx="4">
                  <c:v>4.1333423410231473</c:v>
                </c:pt>
                <c:pt idx="5">
                  <c:v>3.8486434260591063</c:v>
                </c:pt>
                <c:pt idx="6">
                  <c:v>3.5541725037135827</c:v>
                </c:pt>
                <c:pt idx="7">
                  <c:v>3.2081196718137854</c:v>
                </c:pt>
                <c:pt idx="8">
                  <c:v>2.939698194950036</c:v>
                </c:pt>
                <c:pt idx="9">
                  <c:v>2.3118769471794418</c:v>
                </c:pt>
                <c:pt idx="10">
                  <c:v>1.8935016931224626</c:v>
                </c:pt>
                <c:pt idx="11">
                  <c:v>1.1063129352028749</c:v>
                </c:pt>
                <c:pt idx="12">
                  <c:v>-0.5631674084390399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F2-4B0C-B8E4-26BF3390E1D0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A_I'!$D$80:$P$80</c:f>
              <c:numCache>
                <c:formatCode>General</c:formatCode>
                <c:ptCount val="13"/>
                <c:pt idx="0">
                  <c:v>0.80444457628820631</c:v>
                </c:pt>
                <c:pt idx="1">
                  <c:v>0.80270415252121674</c:v>
                </c:pt>
                <c:pt idx="2">
                  <c:v>0.79956360147741634</c:v>
                </c:pt>
                <c:pt idx="3">
                  <c:v>0.79175166474987491</c:v>
                </c:pt>
                <c:pt idx="4">
                  <c:v>0.77289121915743275</c:v>
                </c:pt>
                <c:pt idx="5">
                  <c:v>0.66502645243092406</c:v>
                </c:pt>
                <c:pt idx="6">
                  <c:v>0.68671162356488769</c:v>
                </c:pt>
                <c:pt idx="7">
                  <c:v>0.6484753374594886</c:v>
                </c:pt>
                <c:pt idx="8">
                  <c:v>0.62670649842842141</c:v>
                </c:pt>
                <c:pt idx="9">
                  <c:v>0.58900322074088551</c:v>
                </c:pt>
                <c:pt idx="10">
                  <c:v>0.57119873394242993</c:v>
                </c:pt>
                <c:pt idx="11">
                  <c:v>0.46875015657451974</c:v>
                </c:pt>
                <c:pt idx="12">
                  <c:v>-0.67530500817394479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F2-4B0C-B8E4-26BF3390E1D0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A_I'!$BE$14:$BQ$14</c:f>
              <c:numCache>
                <c:formatCode>General</c:formatCode>
                <c:ptCount val="13"/>
                <c:pt idx="0">
                  <c:v>11.987690673700762</c:v>
                </c:pt>
                <c:pt idx="1">
                  <c:v>12.839203814321744</c:v>
                </c:pt>
                <c:pt idx="2">
                  <c:v>13.971764</c:v>
                </c:pt>
                <c:pt idx="3">
                  <c:v>12.680180578556998</c:v>
                </c:pt>
                <c:pt idx="4">
                  <c:v>13.036940250000001</c:v>
                </c:pt>
                <c:pt idx="5">
                  <c:v>11.50221932600712</c:v>
                </c:pt>
                <c:pt idx="6">
                  <c:v>10.985628999999998</c:v>
                </c:pt>
                <c:pt idx="7">
                  <c:v>#N/A</c:v>
                </c:pt>
                <c:pt idx="8">
                  <c:v>8.0595650468688778</c:v>
                </c:pt>
                <c:pt idx="9">
                  <c:v>#N/A</c:v>
                </c:pt>
                <c:pt idx="10">
                  <c:v>4.5401691720696791</c:v>
                </c:pt>
                <c:pt idx="11">
                  <c:v>2.0315463409751273</c:v>
                </c:pt>
                <c:pt idx="12">
                  <c:v>-0.95901336499032419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F2-4B0C-B8E4-26BF3390E1D0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A_I'!$BE$44:$BQ$44</c:f>
              <c:numCache>
                <c:formatCode>General</c:formatCode>
                <c:ptCount val="13"/>
                <c:pt idx="0">
                  <c:v>2.1808662969283219</c:v>
                </c:pt>
                <c:pt idx="1">
                  <c:v>2.3688993575903377</c:v>
                </c:pt>
                <c:pt idx="2">
                  <c:v>2.5255853200319973</c:v>
                </c:pt>
                <c:pt idx="3">
                  <c:v>2.6335731470340753</c:v>
                </c:pt>
                <c:pt idx="4">
                  <c:v>2.724793502639077</c:v>
                </c:pt>
                <c:pt idx="5">
                  <c:v>2.6941744152951626</c:v>
                </c:pt>
                <c:pt idx="6">
                  <c:v>#N/A</c:v>
                </c:pt>
                <c:pt idx="7">
                  <c:v>2.4690033146535422</c:v>
                </c:pt>
                <c:pt idx="8">
                  <c:v>#N/A</c:v>
                </c:pt>
                <c:pt idx="9">
                  <c:v>1.9712618205441803</c:v>
                </c:pt>
                <c:pt idx="10">
                  <c:v>#N/A</c:v>
                </c:pt>
                <c:pt idx="11">
                  <c:v>0.35114144041894152</c:v>
                </c:pt>
                <c:pt idx="12">
                  <c:v>-1.9264850146540349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F2-4B0C-B8E4-26BF3390E1D0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A_I'!$BE$75:$BQ$75</c:f>
              <c:numCache>
                <c:formatCode>General</c:formatCode>
                <c:ptCount val="13"/>
                <c:pt idx="0">
                  <c:v>0.90789883631395529</c:v>
                </c:pt>
                <c:pt idx="1">
                  <c:v>1.1016501700623018</c:v>
                </c:pt>
                <c:pt idx="2">
                  <c:v>1.3247704917003462</c:v>
                </c:pt>
                <c:pt idx="3">
                  <c:v>1.4522436176295253</c:v>
                </c:pt>
                <c:pt idx="4">
                  <c:v>1.6055247201992693</c:v>
                </c:pt>
                <c:pt idx="5">
                  <c:v>1.6051623051133799</c:v>
                </c:pt>
                <c:pt idx="6">
                  <c:v>#N/A</c:v>
                </c:pt>
                <c:pt idx="7">
                  <c:v>1.5524412379339942</c:v>
                </c:pt>
                <c:pt idx="8">
                  <c:v>#N/A</c:v>
                </c:pt>
                <c:pt idx="9">
                  <c:v>1.4063675900977932</c:v>
                </c:pt>
                <c:pt idx="10">
                  <c:v>#N/A</c:v>
                </c:pt>
                <c:pt idx="11">
                  <c:v>0.69324311800807203</c:v>
                </c:pt>
                <c:pt idx="12">
                  <c:v>-1.0784435220960147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0F2-4B0C-B8E4-26BF3390E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025251153950581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A_I'!$BD$15</c:f>
          <c:strCache>
            <c:ptCount val="1"/>
            <c:pt idx="0">
              <c:v>Sikitita 1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A_I'!$D$19:$P$19</c:f>
              <c:numCache>
                <c:formatCode>General</c:formatCode>
                <c:ptCount val="13"/>
                <c:pt idx="0">
                  <c:v>7.916117560705592</c:v>
                </c:pt>
                <c:pt idx="1">
                  <c:v>7.9160250518801032</c:v>
                </c:pt>
                <c:pt idx="2">
                  <c:v>7.9154594824991857</c:v>
                </c:pt>
                <c:pt idx="3">
                  <c:v>7.9114097774721319</c:v>
                </c:pt>
                <c:pt idx="4">
                  <c:v>7.8816074904260347</c:v>
                </c:pt>
                <c:pt idx="5">
                  <c:v>7.6574371498998008</c:v>
                </c:pt>
                <c:pt idx="6">
                  <c:v>7.0579218704081041</c:v>
                </c:pt>
                <c:pt idx="7">
                  <c:v>6.0625120755359969</c:v>
                </c:pt>
                <c:pt idx="8">
                  <c:v>5.2457612139809822</c:v>
                </c:pt>
                <c:pt idx="9">
                  <c:v>3.4898316884684109</c:v>
                </c:pt>
                <c:pt idx="10">
                  <c:v>2.7560499282532165</c:v>
                </c:pt>
                <c:pt idx="11">
                  <c:v>1.0988686318909835</c:v>
                </c:pt>
                <c:pt idx="12">
                  <c:v>-0.71512847077035424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60-41B2-A71A-D345227724A6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A_I'!$D$50:$P$50</c:f>
              <c:numCache>
                <c:formatCode>General</c:formatCode>
                <c:ptCount val="13"/>
                <c:pt idx="0">
                  <c:v>4.0385788566495746</c:v>
                </c:pt>
                <c:pt idx="1">
                  <c:v>4.0385788284649369</c:v>
                </c:pt>
                <c:pt idx="2">
                  <c:v>4.0385777909828491</c:v>
                </c:pt>
                <c:pt idx="3">
                  <c:v>4.0385606564369398</c:v>
                </c:pt>
                <c:pt idx="4">
                  <c:v>4.0382713108623065</c:v>
                </c:pt>
                <c:pt idx="5">
                  <c:v>4.0329606658621246</c:v>
                </c:pt>
                <c:pt idx="6">
                  <c:v>4.0022512090853075</c:v>
                </c:pt>
                <c:pt idx="7">
                  <c:v>3.8981427427517708</c:v>
                </c:pt>
                <c:pt idx="8">
                  <c:v>3.7504257985707028</c:v>
                </c:pt>
                <c:pt idx="9">
                  <c:v>3.1541655775156108</c:v>
                </c:pt>
                <c:pt idx="10">
                  <c:v>2.75199192582595</c:v>
                </c:pt>
                <c:pt idx="11">
                  <c:v>1.4200665299395825</c:v>
                </c:pt>
                <c:pt idx="12">
                  <c:v>-0.61846006843397316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60-41B2-A71A-D345227724A6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A_I'!$D$81:$P$81</c:f>
              <c:numCache>
                <c:formatCode>General</c:formatCode>
                <c:ptCount val="13"/>
                <c:pt idx="0">
                  <c:v>1.1273304577560612</c:v>
                </c:pt>
                <c:pt idx="1">
                  <c:v>1.1273304577560612</c:v>
                </c:pt>
                <c:pt idx="2">
                  <c:v>1.1273304577560606</c:v>
                </c:pt>
                <c:pt idx="3">
                  <c:v>1.1273304577552676</c:v>
                </c:pt>
                <c:pt idx="4">
                  <c:v>1.1273304568644718</c:v>
                </c:pt>
                <c:pt idx="5">
                  <c:v>1.1273294400174607</c:v>
                </c:pt>
                <c:pt idx="6">
                  <c:v>1.1272585846698564</c:v>
                </c:pt>
                <c:pt idx="7">
                  <c:v>1.1260417122265314</c:v>
                </c:pt>
                <c:pt idx="8">
                  <c:v>1.1217246459310009</c:v>
                </c:pt>
                <c:pt idx="9">
                  <c:v>1.0738329211925259</c:v>
                </c:pt>
                <c:pt idx="10">
                  <c:v>1.0125563148383991</c:v>
                </c:pt>
                <c:pt idx="11">
                  <c:v>0.61265212516952761</c:v>
                </c:pt>
                <c:pt idx="12">
                  <c:v>-0.8308717412764075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60-41B2-A71A-D345227724A6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A_I'!$BE$15:$BQ$15</c:f>
              <c:numCache>
                <c:formatCode>General</c:formatCode>
                <c:ptCount val="13"/>
                <c:pt idx="0">
                  <c:v>7.4903447128124991</c:v>
                </c:pt>
                <c:pt idx="1">
                  <c:v>8.2399192115624995</c:v>
                </c:pt>
                <c:pt idx="2">
                  <c:v>8.3049367603124988</c:v>
                </c:pt>
                <c:pt idx="3">
                  <c:v>8.2438161815624991</c:v>
                </c:pt>
                <c:pt idx="4">
                  <c:v>7.8900650915625015</c:v>
                </c:pt>
                <c:pt idx="5">
                  <c:v>7.2475607531250006</c:v>
                </c:pt>
                <c:pt idx="6">
                  <c:v>6.7634102353124996</c:v>
                </c:pt>
                <c:pt idx="7">
                  <c:v>#N/A</c:v>
                </c:pt>
                <c:pt idx="8">
                  <c:v>5.4164204324999998</c:v>
                </c:pt>
                <c:pt idx="9">
                  <c:v>#N/A</c:v>
                </c:pt>
                <c:pt idx="10">
                  <c:v>3.0772970353124998</c:v>
                </c:pt>
                <c:pt idx="11">
                  <c:v>1.164325903125</c:v>
                </c:pt>
                <c:pt idx="12">
                  <c:v>-0.9275869968749999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760-41B2-A71A-D345227724A6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A_I'!$BE$46:$BQ$46</c:f>
              <c:numCache>
                <c:formatCode>General</c:formatCode>
                <c:ptCount val="13"/>
                <c:pt idx="0">
                  <c:v>3.297769677011186</c:v>
                </c:pt>
                <c:pt idx="1">
                  <c:v>3.4634149877442519</c:v>
                </c:pt>
                <c:pt idx="2">
                  <c:v>3.7453077482286083</c:v>
                </c:pt>
                <c:pt idx="3">
                  <c:v>3.7804901753717743</c:v>
                </c:pt>
                <c:pt idx="4">
                  <c:v>3.8476771117228736</c:v>
                </c:pt>
                <c:pt idx="5">
                  <c:v>3.933702505875257</c:v>
                </c:pt>
                <c:pt idx="6">
                  <c:v>4.2909966184775952</c:v>
                </c:pt>
                <c:pt idx="7">
                  <c:v>3.3905314435942437</c:v>
                </c:pt>
                <c:pt idx="8">
                  <c:v>4.1159732358257601</c:v>
                </c:pt>
                <c:pt idx="9">
                  <c:v>2.8114026634675424</c:v>
                </c:pt>
                <c:pt idx="10">
                  <c:v>2.9080231192014847</c:v>
                </c:pt>
                <c:pt idx="11">
                  <c:v>1.3569745911376372</c:v>
                </c:pt>
                <c:pt idx="12">
                  <c:v>-0.76408828063524636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760-41B2-A71A-D345227724A6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A_I'!$BE$77:$BQ$77</c:f>
              <c:numCache>
                <c:formatCode>General</c:formatCode>
                <c:ptCount val="13"/>
                <c:pt idx="0">
                  <c:v>0.6162285987466718</c:v>
                </c:pt>
                <c:pt idx="1">
                  <c:v>0.74457367754736581</c:v>
                </c:pt>
                <c:pt idx="2">
                  <c:v>0.91411516293329065</c:v>
                </c:pt>
                <c:pt idx="3">
                  <c:v>1.153317225180716</c:v>
                </c:pt>
                <c:pt idx="4">
                  <c:v>1.2484447951908257</c:v>
                </c:pt>
                <c:pt idx="5">
                  <c:v>1.397842411668625</c:v>
                </c:pt>
                <c:pt idx="6">
                  <c:v>#N/A</c:v>
                </c:pt>
                <c:pt idx="7">
                  <c:v>1.3259554980303458</c:v>
                </c:pt>
                <c:pt idx="8">
                  <c:v>#N/A</c:v>
                </c:pt>
                <c:pt idx="9">
                  <c:v>1.1882445300241464</c:v>
                </c:pt>
                <c:pt idx="10">
                  <c:v>#N/A</c:v>
                </c:pt>
                <c:pt idx="11">
                  <c:v>0.59582674007262448</c:v>
                </c:pt>
                <c:pt idx="12">
                  <c:v>-0.6058649761696826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760-41B2-A71A-D34522772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247352701601955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A_I'!$BD$16</c:f>
          <c:strCache>
            <c:ptCount val="1"/>
            <c:pt idx="0">
              <c:v>Sikitita 2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A_I'!$D$20:$P$20</c:f>
              <c:numCache>
                <c:formatCode>General</c:formatCode>
                <c:ptCount val="13"/>
                <c:pt idx="0">
                  <c:v>12.007111297548114</c:v>
                </c:pt>
                <c:pt idx="1">
                  <c:v>12.006574471845417</c:v>
                </c:pt>
                <c:pt idx="2">
                  <c:v>12.003912559966915</c:v>
                </c:pt>
                <c:pt idx="3">
                  <c:v>11.988274002148477</c:v>
                </c:pt>
                <c:pt idx="4">
                  <c:v>11.895634549963596</c:v>
                </c:pt>
                <c:pt idx="5">
                  <c:v>11.351148595319348</c:v>
                </c:pt>
                <c:pt idx="6">
                  <c:v>10.161515172450585</c:v>
                </c:pt>
                <c:pt idx="7">
                  <c:v>8.4656636296793053</c:v>
                </c:pt>
                <c:pt idx="8">
                  <c:v>7.2019758039890238</c:v>
                </c:pt>
                <c:pt idx="9">
                  <c:v>4.6976806616450801</c:v>
                </c:pt>
                <c:pt idx="10">
                  <c:v>3.7059207983272633</c:v>
                </c:pt>
                <c:pt idx="11">
                  <c:v>1.5351693130075439</c:v>
                </c:pt>
                <c:pt idx="12">
                  <c:v>-0.78498613006235929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6-47F9-8F21-D9501234B437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A_I'!$D$51:$P$51</c:f>
              <c:numCache>
                <c:formatCode>General</c:formatCode>
                <c:ptCount val="13"/>
                <c:pt idx="0">
                  <c:v>3.876227689575575</c:v>
                </c:pt>
                <c:pt idx="1">
                  <c:v>3.8762276889610305</c:v>
                </c:pt>
                <c:pt idx="2">
                  <c:v>3.8762276771484849</c:v>
                </c:pt>
                <c:pt idx="3">
                  <c:v>3.8762271207640597</c:v>
                </c:pt>
                <c:pt idx="4">
                  <c:v>3.8762002844600638</c:v>
                </c:pt>
                <c:pt idx="5">
                  <c:v>3.880240020791379</c:v>
                </c:pt>
                <c:pt idx="6">
                  <c:v>3.8619826852007333</c:v>
                </c:pt>
                <c:pt idx="7">
                  <c:v>3.7728672726362684</c:v>
                </c:pt>
                <c:pt idx="8">
                  <c:v>3.6204432702877765</c:v>
                </c:pt>
                <c:pt idx="9">
                  <c:v>2.9901067410361537</c:v>
                </c:pt>
                <c:pt idx="10">
                  <c:v>2.5596581007490076</c:v>
                </c:pt>
                <c:pt idx="11">
                  <c:v>1.1858068124127004</c:v>
                </c:pt>
                <c:pt idx="12">
                  <c:v>-0.80830069155771034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E6-47F9-8F21-D9501234B437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A_I'!$D$82:$P$82</c:f>
              <c:numCache>
                <c:formatCode>General</c:formatCode>
                <c:ptCount val="13"/>
                <c:pt idx="0">
                  <c:v>3.347092857795797</c:v>
                </c:pt>
                <c:pt idx="1">
                  <c:v>3.3470928565854572</c:v>
                </c:pt>
                <c:pt idx="2">
                  <c:v>3.3470928255558392</c:v>
                </c:pt>
                <c:pt idx="3">
                  <c:v>3.3470916519204934</c:v>
                </c:pt>
                <c:pt idx="4">
                  <c:v>3.3470463584894694</c:v>
                </c:pt>
                <c:pt idx="5">
                  <c:v>3.3451919379351231</c:v>
                </c:pt>
                <c:pt idx="6">
                  <c:v>3.3283741407274161</c:v>
                </c:pt>
                <c:pt idx="7">
                  <c:v>3.2568297166116666</c:v>
                </c:pt>
                <c:pt idx="8">
                  <c:v>3.1447733605664334</c:v>
                </c:pt>
                <c:pt idx="9">
                  <c:v>2.6590161766006095</c:v>
                </c:pt>
                <c:pt idx="10">
                  <c:v>2.3156312440583129</c:v>
                </c:pt>
                <c:pt idx="11">
                  <c:v>1.1301076252194442</c:v>
                </c:pt>
                <c:pt idx="12">
                  <c:v>-0.76176074318440912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E6-47F9-8F21-D9501234B437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A_I'!$BE$16:$BQ$16</c:f>
              <c:numCache>
                <c:formatCode>General</c:formatCode>
                <c:ptCount val="13"/>
                <c:pt idx="0">
                  <c:v>12.16001</c:v>
                </c:pt>
                <c:pt idx="1">
                  <c:v>12.540974999999998</c:v>
                </c:pt>
                <c:pt idx="2">
                  <c:v>12.352649999999999</c:v>
                </c:pt>
                <c:pt idx="3">
                  <c:v>11.981009999999999</c:v>
                </c:pt>
                <c:pt idx="4">
                  <c:v>11.510613999999999</c:v>
                </c:pt>
                <c:pt idx="5">
                  <c:v>10.684543499999998</c:v>
                </c:pt>
                <c:pt idx="6">
                  <c:v>9.7549655000000008</c:v>
                </c:pt>
                <c:pt idx="7">
                  <c:v>#N/A</c:v>
                </c:pt>
                <c:pt idx="8">
                  <c:v>7.5762615000000011</c:v>
                </c:pt>
                <c:pt idx="9">
                  <c:v>#N/A</c:v>
                </c:pt>
                <c:pt idx="10">
                  <c:v>3.9602310000000003</c:v>
                </c:pt>
                <c:pt idx="11">
                  <c:v>1.609599</c:v>
                </c:pt>
                <c:pt idx="12">
                  <c:v>-1.0585250000000002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E6-47F9-8F21-D9501234B437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A_I'!$BE$47:$BQ$47</c:f>
              <c:numCache>
                <c:formatCode>General</c:formatCode>
                <c:ptCount val="13"/>
                <c:pt idx="0">
                  <c:v>3.7645670571177843</c:v>
                </c:pt>
                <c:pt idx="1">
                  <c:v>3.937675112308892</c:v>
                </c:pt>
                <c:pt idx="2">
                  <c:v>4.0227512862140191</c:v>
                </c:pt>
                <c:pt idx="3">
                  <c:v>4.0006768516402484</c:v>
                </c:pt>
                <c:pt idx="4">
                  <c:v>3.9580281186462676</c:v>
                </c:pt>
                <c:pt idx="5">
                  <c:v>3.8956316097327059</c:v>
                </c:pt>
                <c:pt idx="6">
                  <c:v>2.2168155910161502</c:v>
                </c:pt>
                <c:pt idx="7">
                  <c:v>3.7412178767956341</c:v>
                </c:pt>
                <c:pt idx="8">
                  <c:v>2.0744903315224201</c:v>
                </c:pt>
                <c:pt idx="9">
                  <c:v>3.0885077239763512</c:v>
                </c:pt>
                <c:pt idx="10">
                  <c:v>1.7383812528698399</c:v>
                </c:pt>
                <c:pt idx="11">
                  <c:v>1.3220763249737011</c:v>
                </c:pt>
                <c:pt idx="12">
                  <c:v>-0.87474772005487578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E6-47F9-8F21-D9501234B437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A_I'!$BE$78:$BQ$78</c:f>
              <c:numCache>
                <c:formatCode>General</c:formatCode>
                <c:ptCount val="13"/>
                <c:pt idx="0">
                  <c:v>3.1688652597550879</c:v>
                </c:pt>
                <c:pt idx="1">
                  <c:v>3.4755913468124473</c:v>
                </c:pt>
                <c:pt idx="2">
                  <c:v>3.6028866178740238</c:v>
                </c:pt>
                <c:pt idx="3">
                  <c:v>3.6345073182827834</c:v>
                </c:pt>
                <c:pt idx="4">
                  <c:v>3.7335527112512046</c:v>
                </c:pt>
                <c:pt idx="5">
                  <c:v>3.6933107578566005</c:v>
                </c:pt>
                <c:pt idx="6">
                  <c:v>#N/A</c:v>
                </c:pt>
                <c:pt idx="7">
                  <c:v>3.4137059547077055</c:v>
                </c:pt>
                <c:pt idx="8">
                  <c:v>#N/A</c:v>
                </c:pt>
                <c:pt idx="9">
                  <c:v>2.7916809874543942</c:v>
                </c:pt>
                <c:pt idx="10">
                  <c:v>#N/A</c:v>
                </c:pt>
                <c:pt idx="11">
                  <c:v>1.2955259047475143</c:v>
                </c:pt>
                <c:pt idx="12">
                  <c:v>-0.76838386084417587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E6-47F9-8F21-D9501234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A_I'!$C$19</c:f>
          <c:strCache>
            <c:ptCount val="1"/>
            <c:pt idx="0">
              <c:v>Sikitita 1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A_I'!$D$19:$P$19</c:f>
              <c:numCache>
                <c:formatCode>General</c:formatCode>
                <c:ptCount val="13"/>
                <c:pt idx="0">
                  <c:v>7.916117560705592</c:v>
                </c:pt>
                <c:pt idx="1">
                  <c:v>7.9160250518801032</c:v>
                </c:pt>
                <c:pt idx="2">
                  <c:v>7.9154594824991857</c:v>
                </c:pt>
                <c:pt idx="3">
                  <c:v>7.9114097774721319</c:v>
                </c:pt>
                <c:pt idx="4">
                  <c:v>7.8816074904260347</c:v>
                </c:pt>
                <c:pt idx="5">
                  <c:v>7.6574371498998008</c:v>
                </c:pt>
                <c:pt idx="6">
                  <c:v>7.0579218704081041</c:v>
                </c:pt>
                <c:pt idx="7">
                  <c:v>6.0625120755359969</c:v>
                </c:pt>
                <c:pt idx="8">
                  <c:v>5.2457612139809822</c:v>
                </c:pt>
                <c:pt idx="9">
                  <c:v>3.4898316884684109</c:v>
                </c:pt>
                <c:pt idx="10">
                  <c:v>2.7560499282532165</c:v>
                </c:pt>
                <c:pt idx="11">
                  <c:v>1.0988686318909835</c:v>
                </c:pt>
                <c:pt idx="12">
                  <c:v>-0.71512847077035424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D5-46E8-899A-310E188E418B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A_I'!$D$50:$P$50</c:f>
              <c:numCache>
                <c:formatCode>General</c:formatCode>
                <c:ptCount val="13"/>
                <c:pt idx="0">
                  <c:v>4.0385788566495746</c:v>
                </c:pt>
                <c:pt idx="1">
                  <c:v>4.0385788284649369</c:v>
                </c:pt>
                <c:pt idx="2">
                  <c:v>4.0385777909828491</c:v>
                </c:pt>
                <c:pt idx="3">
                  <c:v>4.0385606564369398</c:v>
                </c:pt>
                <c:pt idx="4">
                  <c:v>4.0382713108623065</c:v>
                </c:pt>
                <c:pt idx="5">
                  <c:v>4.0329606658621246</c:v>
                </c:pt>
                <c:pt idx="6">
                  <c:v>4.0022512090853075</c:v>
                </c:pt>
                <c:pt idx="7">
                  <c:v>3.8981427427517708</c:v>
                </c:pt>
                <c:pt idx="8">
                  <c:v>3.7504257985707028</c:v>
                </c:pt>
                <c:pt idx="9">
                  <c:v>3.1541655775156108</c:v>
                </c:pt>
                <c:pt idx="10">
                  <c:v>2.75199192582595</c:v>
                </c:pt>
                <c:pt idx="11">
                  <c:v>1.4200665299395825</c:v>
                </c:pt>
                <c:pt idx="12">
                  <c:v>-0.61846006843397316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D5-46E8-899A-310E188E418B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A_I'!$D$81:$P$81</c:f>
              <c:numCache>
                <c:formatCode>General</c:formatCode>
                <c:ptCount val="13"/>
                <c:pt idx="0">
                  <c:v>1.1273304577560612</c:v>
                </c:pt>
                <c:pt idx="1">
                  <c:v>1.1273304577560612</c:v>
                </c:pt>
                <c:pt idx="2">
                  <c:v>1.1273304577560606</c:v>
                </c:pt>
                <c:pt idx="3">
                  <c:v>1.1273304577552676</c:v>
                </c:pt>
                <c:pt idx="4">
                  <c:v>1.1273304568644718</c:v>
                </c:pt>
                <c:pt idx="5">
                  <c:v>1.1273294400174607</c:v>
                </c:pt>
                <c:pt idx="6">
                  <c:v>1.1272585846698564</c:v>
                </c:pt>
                <c:pt idx="7">
                  <c:v>1.1260417122265314</c:v>
                </c:pt>
                <c:pt idx="8">
                  <c:v>1.1217246459310009</c:v>
                </c:pt>
                <c:pt idx="9">
                  <c:v>1.0738329211925259</c:v>
                </c:pt>
                <c:pt idx="10">
                  <c:v>1.0125563148383991</c:v>
                </c:pt>
                <c:pt idx="11">
                  <c:v>0.61265212516952761</c:v>
                </c:pt>
                <c:pt idx="12">
                  <c:v>-0.8308717412764075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D5-46E8-899A-310E188E4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247352701601955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A_I'!$BD$3</c:f>
          <c:strCache>
            <c:ptCount val="1"/>
            <c:pt idx="0">
              <c:v>Arbequina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A_I'!$D$7:$P$7</c:f>
              <c:numCache>
                <c:formatCode>General</c:formatCode>
                <c:ptCount val="13"/>
                <c:pt idx="0">
                  <c:v>10.446206174230904</c:v>
                </c:pt>
                <c:pt idx="1">
                  <c:v>10.445909549648778</c:v>
                </c:pt>
                <c:pt idx="2">
                  <c:v>10.444413414765334</c:v>
                </c:pt>
                <c:pt idx="3">
                  <c:v>10.435415101010202</c:v>
                </c:pt>
                <c:pt idx="4">
                  <c:v>10.380000425024896</c:v>
                </c:pt>
                <c:pt idx="5">
                  <c:v>10.030091190674192</c:v>
                </c:pt>
                <c:pt idx="6">
                  <c:v>9.1917462644736361</c:v>
                </c:pt>
                <c:pt idx="7">
                  <c:v>7.8712392856379685</c:v>
                </c:pt>
                <c:pt idx="8">
                  <c:v>6.8040116724135729</c:v>
                </c:pt>
                <c:pt idx="9">
                  <c:v>4.5018879266275853</c:v>
                </c:pt>
                <c:pt idx="10">
                  <c:v>3.5298742107499379</c:v>
                </c:pt>
                <c:pt idx="11">
                  <c:v>1.3111594227969521</c:v>
                </c:pt>
                <c:pt idx="12">
                  <c:v>-1.1420855081824628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67-483E-B27A-64310F081CC7}"/>
            </c:ext>
          </c:extLst>
        </c:ser>
        <c:ser>
          <c:idx val="4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A_I'!$D$38:$P$38</c:f>
              <c:numCache>
                <c:formatCode>General</c:formatCode>
                <c:ptCount val="13"/>
                <c:pt idx="0">
                  <c:v>4.1200113709132058</c:v>
                </c:pt>
                <c:pt idx="1">
                  <c:v>4.1200107686443195</c:v>
                </c:pt>
                <c:pt idx="2">
                  <c:v>4.1200041065522663</c:v>
                </c:pt>
                <c:pt idx="3">
                  <c:v>4.1199224048544725</c:v>
                </c:pt>
                <c:pt idx="4">
                  <c:v>4.118872907618762</c:v>
                </c:pt>
                <c:pt idx="5">
                  <c:v>4.1042093019176944</c:v>
                </c:pt>
                <c:pt idx="6">
                  <c:v>4.0368586830410793</c:v>
                </c:pt>
                <c:pt idx="7">
                  <c:v>3.8531926949874489</c:v>
                </c:pt>
                <c:pt idx="8">
                  <c:v>3.6332576010933142</c:v>
                </c:pt>
                <c:pt idx="9">
                  <c:v>2.8942892506459481</c:v>
                </c:pt>
                <c:pt idx="10">
                  <c:v>2.4527459119778956</c:v>
                </c:pt>
                <c:pt idx="11">
                  <c:v>1.0890701125304911</c:v>
                </c:pt>
                <c:pt idx="12">
                  <c:v>-1.0926496246640498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67-483E-B27A-64310F081CC7}"/>
            </c:ext>
          </c:extLst>
        </c:ser>
        <c:ser>
          <c:idx val="5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A_I'!$D$69:$P$69</c:f>
              <c:numCache>
                <c:formatCode>General</c:formatCode>
                <c:ptCount val="13"/>
                <c:pt idx="0">
                  <c:v>0.87233868191286768</c:v>
                </c:pt>
                <c:pt idx="1">
                  <c:v>0.87231184656973138</c:v>
                </c:pt>
                <c:pt idx="2">
                  <c:v>0.87219916497568972</c:v>
                </c:pt>
                <c:pt idx="3">
                  <c:v>0.87163265973205306</c:v>
                </c:pt>
                <c:pt idx="4">
                  <c:v>0.86879843322827088</c:v>
                </c:pt>
                <c:pt idx="5">
                  <c:v>0.85481880878398775</c:v>
                </c:pt>
                <c:pt idx="6">
                  <c:v>0.82627777051619133</c:v>
                </c:pt>
                <c:pt idx="7">
                  <c:v>0.77882623795649597</c:v>
                </c:pt>
                <c:pt idx="8">
                  <c:v>0.73267010770971464</c:v>
                </c:pt>
                <c:pt idx="9">
                  <c:v>0.58489380147329439</c:v>
                </c:pt>
                <c:pt idx="10">
                  <c:v>0.4903144319701605</c:v>
                </c:pt>
                <c:pt idx="11">
                  <c:v>0.11595973326211674</c:v>
                </c:pt>
                <c:pt idx="12">
                  <c:v>-1.0195252788988516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67-483E-B27A-64310F081CC7}"/>
            </c:ext>
          </c:extLst>
        </c:ser>
        <c:ser>
          <c:idx val="0"/>
          <c:order val="3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dash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A_I'!$BE$3:$BQ$3</c:f>
              <c:numCache>
                <c:formatCode>General</c:formatCode>
                <c:ptCount val="13"/>
                <c:pt idx="0">
                  <c:v>10.270608035413296</c:v>
                </c:pt>
                <c:pt idx="1">
                  <c:v>10.371800623029175</c:v>
                </c:pt>
                <c:pt idx="2">
                  <c:v>10.539886147769975</c:v>
                </c:pt>
                <c:pt idx="3">
                  <c:v>10.356396888648785</c:v>
                </c:pt>
                <c:pt idx="4">
                  <c:v>10.056462066178772</c:v>
                </c:pt>
                <c:pt idx="5">
                  <c:v>9.1150981069635613</c:v>
                </c:pt>
                <c:pt idx="6">
                  <c:v>8.3487680085088893</c:v>
                </c:pt>
                <c:pt idx="7">
                  <c:v>#N/A</c:v>
                </c:pt>
                <c:pt idx="8">
                  <c:v>6.5235105665596791</c:v>
                </c:pt>
                <c:pt idx="9">
                  <c:v>#N/A</c:v>
                </c:pt>
                <c:pt idx="10">
                  <c:v>3.8902826885193265</c:v>
                </c:pt>
                <c:pt idx="11">
                  <c:v>1.4432539523409955</c:v>
                </c:pt>
                <c:pt idx="12">
                  <c:v>-1.4828618567292016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167-483E-B27A-64310F081CC7}"/>
            </c:ext>
          </c:extLst>
        </c:ser>
        <c:ser>
          <c:idx val="1"/>
          <c:order val="4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A_I'!$BE$34:$BQ$34</c:f>
              <c:numCache>
                <c:formatCode>General</c:formatCode>
                <c:ptCount val="13"/>
                <c:pt idx="0">
                  <c:v>3.2948229569059739</c:v>
                </c:pt>
                <c:pt idx="1">
                  <c:v>3.565192588894321</c:v>
                </c:pt>
                <c:pt idx="2">
                  <c:v>3.7551597252890523</c:v>
                </c:pt>
                <c:pt idx="3">
                  <c:v>3.8852462958268505</c:v>
                </c:pt>
                <c:pt idx="4">
                  <c:v>3.8648127764457292</c:v>
                </c:pt>
                <c:pt idx="5">
                  <c:v>3.8695962602263227</c:v>
                </c:pt>
                <c:pt idx="6">
                  <c:v>#N/A</c:v>
                </c:pt>
                <c:pt idx="7">
                  <c:v>3.6137898331079752</c:v>
                </c:pt>
                <c:pt idx="8">
                  <c:v>#N/A</c:v>
                </c:pt>
                <c:pt idx="9">
                  <c:v>2.9447070488263631</c:v>
                </c:pt>
                <c:pt idx="10">
                  <c:v>#N/A</c:v>
                </c:pt>
                <c:pt idx="11">
                  <c:v>1.2015799147830415</c:v>
                </c:pt>
                <c:pt idx="12">
                  <c:v>-0.95559377148846258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167-483E-B27A-64310F081CC7}"/>
            </c:ext>
          </c:extLst>
        </c:ser>
        <c:ser>
          <c:idx val="2"/>
          <c:order val="5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A_I'!$BE$65:$BQ$65</c:f>
              <c:numCache>
                <c:formatCode>General</c:formatCode>
                <c:ptCount val="13"/>
                <c:pt idx="0">
                  <c:v>0.87664383470722307</c:v>
                </c:pt>
                <c:pt idx="1">
                  <c:v>0.86205824850047941</c:v>
                </c:pt>
                <c:pt idx="2">
                  <c:v>0.84498644878628792</c:v>
                </c:pt>
                <c:pt idx="3">
                  <c:v>0.93488443843546876</c:v>
                </c:pt>
                <c:pt idx="4">
                  <c:v>0.79404448344738809</c:v>
                </c:pt>
                <c:pt idx="5">
                  <c:v>0.85637294769938521</c:v>
                </c:pt>
                <c:pt idx="6">
                  <c:v>#N/A</c:v>
                </c:pt>
                <c:pt idx="7">
                  <c:v>0.7017613857299575</c:v>
                </c:pt>
                <c:pt idx="8">
                  <c:v>#N/A</c:v>
                </c:pt>
                <c:pt idx="9">
                  <c:v>0.7063357973824006</c:v>
                </c:pt>
                <c:pt idx="10">
                  <c:v>#N/A</c:v>
                </c:pt>
                <c:pt idx="11">
                  <c:v>0.4684971960996443</c:v>
                </c:pt>
                <c:pt idx="12">
                  <c:v>-0.9289471366683032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167-483E-B27A-64310F081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A_I'!$C$9</c:f>
          <c:strCache>
            <c:ptCount val="1"/>
            <c:pt idx="0">
              <c:v>Cornicabra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A_I'!$D$9:$P$9</c:f>
              <c:numCache>
                <c:formatCode>General</c:formatCode>
                <c:ptCount val="13"/>
                <c:pt idx="0">
                  <c:v>10.99823027062215</c:v>
                </c:pt>
                <c:pt idx="1">
                  <c:v>10.996521363270555</c:v>
                </c:pt>
                <c:pt idx="2">
                  <c:v>10.990434414429011</c:v>
                </c:pt>
                <c:pt idx="3">
                  <c:v>10.963182108466206</c:v>
                </c:pt>
                <c:pt idx="4">
                  <c:v>10.837988594641446</c:v>
                </c:pt>
                <c:pt idx="5">
                  <c:v>10.250917127118237</c:v>
                </c:pt>
                <c:pt idx="6">
                  <c:v>9.1263955968185204</c:v>
                </c:pt>
                <c:pt idx="7">
                  <c:v>7.6143864751799049</c:v>
                </c:pt>
                <c:pt idx="8">
                  <c:v>6.5082339380515712</c:v>
                </c:pt>
                <c:pt idx="9">
                  <c:v>4.323528837940243</c:v>
                </c:pt>
                <c:pt idx="10">
                  <c:v>3.4561371735494348</c:v>
                </c:pt>
                <c:pt idx="11">
                  <c:v>1.5506282254510282</c:v>
                </c:pt>
                <c:pt idx="12">
                  <c:v>-0.49341092693210181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B0-47F0-BE7D-EF9FE3E2756C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A_I'!$D$40:$P$40</c:f>
              <c:numCache>
                <c:formatCode>General</c:formatCode>
                <c:ptCount val="13"/>
                <c:pt idx="0">
                  <c:v>6.5230476747530002</c:v>
                </c:pt>
                <c:pt idx="1">
                  <c:v>6.5230363903256059</c:v>
                </c:pt>
                <c:pt idx="2">
                  <c:v>6.5229608077693877</c:v>
                </c:pt>
                <c:pt idx="3">
                  <c:v>6.5223678684921209</c:v>
                </c:pt>
                <c:pt idx="4">
                  <c:v>6.5173698253759902</c:v>
                </c:pt>
                <c:pt idx="5">
                  <c:v>6.4701090365907525</c:v>
                </c:pt>
                <c:pt idx="6">
                  <c:v>6.3013080650892217</c:v>
                </c:pt>
                <c:pt idx="7">
                  <c:v>5.9179940039776726</c:v>
                </c:pt>
                <c:pt idx="8">
                  <c:v>5.5091483866423179</c:v>
                </c:pt>
                <c:pt idx="9">
                  <c:v>4.3065260823199401</c:v>
                </c:pt>
                <c:pt idx="10">
                  <c:v>3.6564175594171764</c:v>
                </c:pt>
                <c:pt idx="11">
                  <c:v>1.8447887652622583</c:v>
                </c:pt>
                <c:pt idx="12">
                  <c:v>-0.57650731671348865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B0-47F0-BE7D-EF9FE3E2756C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A_I'!$D$71:$P$71</c:f>
              <c:numCache>
                <c:formatCode>General</c:formatCode>
                <c:ptCount val="13"/>
                <c:pt idx="0">
                  <c:v>6.0122964388494751</c:v>
                </c:pt>
                <c:pt idx="1">
                  <c:v>6.0122853111212473</c:v>
                </c:pt>
                <c:pt idx="2">
                  <c:v>6.012205137055358</c:v>
                </c:pt>
                <c:pt idx="3">
                  <c:v>6.0115494385179558</c:v>
                </c:pt>
                <c:pt idx="4">
                  <c:v>6.0060656363668397</c:v>
                </c:pt>
                <c:pt idx="5">
                  <c:v>5.9577981128468078</c:v>
                </c:pt>
                <c:pt idx="6">
                  <c:v>5.8032317697002611</c:v>
                </c:pt>
                <c:pt idx="7">
                  <c:v>5.4836528833146385</c:v>
                </c:pt>
                <c:pt idx="8">
                  <c:v>5.1592202748462892</c:v>
                </c:pt>
                <c:pt idx="9">
                  <c:v>4.2112354785670396</c:v>
                </c:pt>
                <c:pt idx="10">
                  <c:v>3.6704388825044565</c:v>
                </c:pt>
                <c:pt idx="11">
                  <c:v>2.0177251881244915</c:v>
                </c:pt>
                <c:pt idx="12">
                  <c:v>-0.57091592246694056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B0-47F0-BE7D-EF9FE3E2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40456149877817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A_I'!$BD$3</c:f>
          <c:strCache>
            <c:ptCount val="1"/>
            <c:pt idx="0">
              <c:v>Arbequina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A_I'!$BE$3:$BQ$3</c:f>
              <c:numCache>
                <c:formatCode>General</c:formatCode>
                <c:ptCount val="13"/>
                <c:pt idx="0">
                  <c:v>10.270608035413296</c:v>
                </c:pt>
                <c:pt idx="1">
                  <c:v>10.371800623029175</c:v>
                </c:pt>
                <c:pt idx="2">
                  <c:v>10.539886147769975</c:v>
                </c:pt>
                <c:pt idx="3">
                  <c:v>10.356396888648785</c:v>
                </c:pt>
                <c:pt idx="4">
                  <c:v>10.056462066178772</c:v>
                </c:pt>
                <c:pt idx="5">
                  <c:v>9.1150981069635613</c:v>
                </c:pt>
                <c:pt idx="6">
                  <c:v>8.3487680085088893</c:v>
                </c:pt>
                <c:pt idx="7">
                  <c:v>#N/A</c:v>
                </c:pt>
                <c:pt idx="8">
                  <c:v>6.5235105665596791</c:v>
                </c:pt>
                <c:pt idx="9">
                  <c:v>#N/A</c:v>
                </c:pt>
                <c:pt idx="10">
                  <c:v>3.8902826885193265</c:v>
                </c:pt>
                <c:pt idx="11">
                  <c:v>1.4432539523409955</c:v>
                </c:pt>
                <c:pt idx="12">
                  <c:v>-1.4828618567292016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7E-4850-8AD4-DB36CA0280F5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A_I'!$BE$34:$BQ$34</c:f>
              <c:numCache>
                <c:formatCode>General</c:formatCode>
                <c:ptCount val="13"/>
                <c:pt idx="0">
                  <c:v>3.2948229569059739</c:v>
                </c:pt>
                <c:pt idx="1">
                  <c:v>3.565192588894321</c:v>
                </c:pt>
                <c:pt idx="2">
                  <c:v>3.7551597252890523</c:v>
                </c:pt>
                <c:pt idx="3">
                  <c:v>3.8852462958268505</c:v>
                </c:pt>
                <c:pt idx="4">
                  <c:v>3.8648127764457292</c:v>
                </c:pt>
                <c:pt idx="5">
                  <c:v>3.8695962602263227</c:v>
                </c:pt>
                <c:pt idx="6">
                  <c:v>#N/A</c:v>
                </c:pt>
                <c:pt idx="7">
                  <c:v>3.6137898331079752</c:v>
                </c:pt>
                <c:pt idx="8">
                  <c:v>#N/A</c:v>
                </c:pt>
                <c:pt idx="9">
                  <c:v>2.9447070488263631</c:v>
                </c:pt>
                <c:pt idx="10">
                  <c:v>#N/A</c:v>
                </c:pt>
                <c:pt idx="11">
                  <c:v>1.2015799147830415</c:v>
                </c:pt>
                <c:pt idx="12">
                  <c:v>-0.95559377148846258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7E-4850-8AD4-DB36CA0280F5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A_I'!$BE$65:$BQ$65</c:f>
              <c:numCache>
                <c:formatCode>General</c:formatCode>
                <c:ptCount val="13"/>
                <c:pt idx="0">
                  <c:v>0.87664383470722307</c:v>
                </c:pt>
                <c:pt idx="1">
                  <c:v>0.86205824850047941</c:v>
                </c:pt>
                <c:pt idx="2">
                  <c:v>0.84498644878628792</c:v>
                </c:pt>
                <c:pt idx="3">
                  <c:v>0.93488443843546876</c:v>
                </c:pt>
                <c:pt idx="4">
                  <c:v>0.79404448344738809</c:v>
                </c:pt>
                <c:pt idx="5">
                  <c:v>0.85637294769938521</c:v>
                </c:pt>
                <c:pt idx="6">
                  <c:v>#N/A</c:v>
                </c:pt>
                <c:pt idx="7">
                  <c:v>0.7017613857299575</c:v>
                </c:pt>
                <c:pt idx="8">
                  <c:v>#N/A</c:v>
                </c:pt>
                <c:pt idx="9">
                  <c:v>0.7063357973824006</c:v>
                </c:pt>
                <c:pt idx="10">
                  <c:v>#N/A</c:v>
                </c:pt>
                <c:pt idx="11">
                  <c:v>0.4684971960996443</c:v>
                </c:pt>
                <c:pt idx="12">
                  <c:v>-0.9289471366683032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7E-4850-8AD4-DB36CA028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A_I'!$BD$4</c:f>
          <c:strCache>
            <c:ptCount val="1"/>
            <c:pt idx="0">
              <c:v>Arbosana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A_I'!$BE$4:$BQ$4</c:f>
              <c:numCache>
                <c:formatCode>General</c:formatCode>
                <c:ptCount val="13"/>
                <c:pt idx="0">
                  <c:v>8.3789614837812394</c:v>
                </c:pt>
                <c:pt idx="1">
                  <c:v>8.66000757451196</c:v>
                </c:pt>
                <c:pt idx="2">
                  <c:v>8.6881887032992875</c:v>
                </c:pt>
                <c:pt idx="3">
                  <c:v>8.4260829067976601</c:v>
                </c:pt>
                <c:pt idx="4">
                  <c:v>7.9375734871100816</c:v>
                </c:pt>
                <c:pt idx="5">
                  <c:v>7.1588395062093033</c:v>
                </c:pt>
                <c:pt idx="6">
                  <c:v>6.3635372499656961</c:v>
                </c:pt>
                <c:pt idx="7">
                  <c:v>#N/A</c:v>
                </c:pt>
                <c:pt idx="8">
                  <c:v>5.0302685694601097</c:v>
                </c:pt>
                <c:pt idx="9">
                  <c:v>#N/A</c:v>
                </c:pt>
                <c:pt idx="10">
                  <c:v>3.0046955595843063</c:v>
                </c:pt>
                <c:pt idx="11">
                  <c:v>1.1602380068529401</c:v>
                </c:pt>
                <c:pt idx="12">
                  <c:v>-1.4435080489381633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AB-42A1-A323-D80A7684B99E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A_I'!$BE$35:$BQ$35</c:f>
              <c:numCache>
                <c:formatCode>General</c:formatCode>
                <c:ptCount val="13"/>
                <c:pt idx="0">
                  <c:v>3.4169766321957025</c:v>
                </c:pt>
                <c:pt idx="1">
                  <c:v>3.5109717412559678</c:v>
                </c:pt>
                <c:pt idx="2">
                  <c:v>3.9078723634942891</c:v>
                </c:pt>
                <c:pt idx="3">
                  <c:v>3.7869977854571739</c:v>
                </c:pt>
                <c:pt idx="4">
                  <c:v>3.9398977337137451</c:v>
                </c:pt>
                <c:pt idx="5">
                  <c:v>3.7266639601435201</c:v>
                </c:pt>
                <c:pt idx="6">
                  <c:v>3.0749260500000002</c:v>
                </c:pt>
                <c:pt idx="7">
                  <c:v>3.6963792346439099</c:v>
                </c:pt>
                <c:pt idx="8">
                  <c:v>2.87045605</c:v>
                </c:pt>
                <c:pt idx="9">
                  <c:v>2.877500033719278</c:v>
                </c:pt>
                <c:pt idx="10">
                  <c:v>2.1921556999999998</c:v>
                </c:pt>
                <c:pt idx="11">
                  <c:v>1.1100529950147628</c:v>
                </c:pt>
                <c:pt idx="12">
                  <c:v>-1.0377116315104908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AB-42A1-A323-D80A7684B99E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A_I'!$BE$66:$BQ$66</c:f>
              <c:numCache>
                <c:formatCode>General</c:formatCode>
                <c:ptCount val="13"/>
                <c:pt idx="0">
                  <c:v>1.9728767882686875</c:v>
                </c:pt>
                <c:pt idx="1">
                  <c:v>1.9237499212719316</c:v>
                </c:pt>
                <c:pt idx="2">
                  <c:v>1.9690083215434862</c:v>
                </c:pt>
                <c:pt idx="3">
                  <c:v>1.9868262076914425</c:v>
                </c:pt>
                <c:pt idx="4">
                  <c:v>2.1180328938342337</c:v>
                </c:pt>
                <c:pt idx="5">
                  <c:v>1.9596199608646581</c:v>
                </c:pt>
                <c:pt idx="6">
                  <c:v>#N/A</c:v>
                </c:pt>
                <c:pt idx="7">
                  <c:v>1.9077230264812655</c:v>
                </c:pt>
                <c:pt idx="8">
                  <c:v>#N/A</c:v>
                </c:pt>
                <c:pt idx="9">
                  <c:v>1.7641631719847191</c:v>
                </c:pt>
                <c:pt idx="10">
                  <c:v>#N/A</c:v>
                </c:pt>
                <c:pt idx="11">
                  <c:v>0.98748674000508707</c:v>
                </c:pt>
                <c:pt idx="12">
                  <c:v>-0.96034277215145003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AB-42A1-A323-D80A7684B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A_I'!$BD$5</c:f>
          <c:strCache>
            <c:ptCount val="1"/>
            <c:pt idx="0">
              <c:v>Cornicabra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A_I'!$BE$5:$BQ$5</c:f>
              <c:numCache>
                <c:formatCode>General</c:formatCode>
                <c:ptCount val="13"/>
                <c:pt idx="0">
                  <c:v>10.409900666666667</c:v>
                </c:pt>
                <c:pt idx="1">
                  <c:v>11.451877999999999</c:v>
                </c:pt>
                <c:pt idx="2">
                  <c:v>11.490725666666668</c:v>
                </c:pt>
                <c:pt idx="3">
                  <c:v>11.112710999999999</c:v>
                </c:pt>
                <c:pt idx="4">
                  <c:v>10.546499666666667</c:v>
                </c:pt>
                <c:pt idx="5">
                  <c:v>9.6657216666666663</c:v>
                </c:pt>
                <c:pt idx="6">
                  <c:v>8.6547896666666677</c:v>
                </c:pt>
                <c:pt idx="7">
                  <c:v>#N/A</c:v>
                </c:pt>
                <c:pt idx="8">
                  <c:v>6.7748143333333344</c:v>
                </c:pt>
                <c:pt idx="9">
                  <c:v>#N/A</c:v>
                </c:pt>
                <c:pt idx="10">
                  <c:v>3.9402193333333333</c:v>
                </c:pt>
                <c:pt idx="11">
                  <c:v>1.6555799999999998</c:v>
                </c:pt>
                <c:pt idx="12">
                  <c:v>-0.91044999999999998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3C-4B02-A21B-A4DB6A0A9502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A_I'!$BE$36:$BQ$36</c:f>
              <c:numCache>
                <c:formatCode>General</c:formatCode>
                <c:ptCount val="13"/>
                <c:pt idx="0">
                  <c:v>5.8833488453875864</c:v>
                </c:pt>
                <c:pt idx="1">
                  <c:v>6.3401300003329837</c:v>
                </c:pt>
                <c:pt idx="2">
                  <c:v>6.606318796941121</c:v>
                </c:pt>
                <c:pt idx="3">
                  <c:v>6.8794905458951066</c:v>
                </c:pt>
                <c:pt idx="4">
                  <c:v>6.8913244923069064</c:v>
                </c:pt>
                <c:pt idx="5">
                  <c:v>6.7940317160488322</c:v>
                </c:pt>
                <c:pt idx="6">
                  <c:v>#N/A</c:v>
                </c:pt>
                <c:pt idx="7">
                  <c:v>5.9471838224085909</c:v>
                </c:pt>
                <c:pt idx="8">
                  <c:v>#N/A</c:v>
                </c:pt>
                <c:pt idx="9">
                  <c:v>4.2467216720383272</c:v>
                </c:pt>
                <c:pt idx="10">
                  <c:v>#N/A</c:v>
                </c:pt>
                <c:pt idx="11">
                  <c:v>1.7333972782076021</c:v>
                </c:pt>
                <c:pt idx="12">
                  <c:v>-0.54446389883781976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3C-4B02-A21B-A4DB6A0A9502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A_I'!$BE$67:$BQ$67</c:f>
              <c:numCache>
                <c:formatCode>General</c:formatCode>
                <c:ptCount val="13"/>
                <c:pt idx="0">
                  <c:v>5.546750145761564</c:v>
                </c:pt>
                <c:pt idx="1">
                  <c:v>5.760637159111198</c:v>
                </c:pt>
                <c:pt idx="2">
                  <c:v>6.0439638624947598</c:v>
                </c:pt>
                <c:pt idx="3">
                  <c:v>6.2167209443710361</c:v>
                </c:pt>
                <c:pt idx="4">
                  <c:v>6.272812386159365</c:v>
                </c:pt>
                <c:pt idx="5">
                  <c:v>6.2339606118452018</c:v>
                </c:pt>
                <c:pt idx="6">
                  <c:v>#N/A</c:v>
                </c:pt>
                <c:pt idx="7">
                  <c:v>5.8638385024855344</c:v>
                </c:pt>
                <c:pt idx="8">
                  <c:v>#N/A</c:v>
                </c:pt>
                <c:pt idx="9">
                  <c:v>4.4798578688776267</c:v>
                </c:pt>
                <c:pt idx="10">
                  <c:v>#N/A</c:v>
                </c:pt>
                <c:pt idx="11">
                  <c:v>2.4141306242526883</c:v>
                </c:pt>
                <c:pt idx="12">
                  <c:v>0.57795202152547853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3C-4B02-A21B-A4DB6A0A9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40456149877817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A_I'!$BD$6</c:f>
          <c:strCache>
            <c:ptCount val="1"/>
            <c:pt idx="0">
              <c:v>Chemlali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A_I'!$BE$6:$BQ$6</c:f>
              <c:numCache>
                <c:formatCode>General</c:formatCode>
                <c:ptCount val="13"/>
                <c:pt idx="0">
                  <c:v>14.383604345049134</c:v>
                </c:pt>
                <c:pt idx="1">
                  <c:v>15.175424044757699</c:v>
                </c:pt>
                <c:pt idx="2">
                  <c:v>15.284244759247066</c:v>
                </c:pt>
                <c:pt idx="3">
                  <c:v>14.797022873306801</c:v>
                </c:pt>
                <c:pt idx="4">
                  <c:v>14.396349894770498</c:v>
                </c:pt>
                <c:pt idx="5">
                  <c:v>13.184164203050234</c:v>
                </c:pt>
                <c:pt idx="6">
                  <c:v>12.146087052293666</c:v>
                </c:pt>
                <c:pt idx="7">
                  <c:v>#N/A</c:v>
                </c:pt>
                <c:pt idx="8">
                  <c:v>9.2607618465026729</c:v>
                </c:pt>
                <c:pt idx="9">
                  <c:v>#N/A</c:v>
                </c:pt>
                <c:pt idx="10">
                  <c:v>5.0442974917369066</c:v>
                </c:pt>
                <c:pt idx="11">
                  <c:v>2.1849843124964168</c:v>
                </c:pt>
                <c:pt idx="12">
                  <c:v>-1.1531476726066179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8C-48B7-9937-E8DA990CA630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A_I'!$BE$37:$BQ$37</c:f>
              <c:numCache>
                <c:formatCode>General</c:formatCode>
                <c:ptCount val="13"/>
                <c:pt idx="0">
                  <c:v>0.89326704567972903</c:v>
                </c:pt>
                <c:pt idx="1">
                  <c:v>0.87074224971944902</c:v>
                </c:pt>
                <c:pt idx="2">
                  <c:v>0.82228167532171537</c:v>
                </c:pt>
                <c:pt idx="3">
                  <c:v>0.90139540100408111</c:v>
                </c:pt>
                <c:pt idx="4">
                  <c:v>0.91020695995495737</c:v>
                </c:pt>
                <c:pt idx="5">
                  <c:v>0.87046004716212289</c:v>
                </c:pt>
                <c:pt idx="6">
                  <c:v>0.37534707145833335</c:v>
                </c:pt>
                <c:pt idx="7">
                  <c:v>0.9297938549454603</c:v>
                </c:pt>
                <c:pt idx="8">
                  <c:v>0.44382663645833331</c:v>
                </c:pt>
                <c:pt idx="9">
                  <c:v>0.84286062469797496</c:v>
                </c:pt>
                <c:pt idx="10">
                  <c:v>0.32440918125000001</c:v>
                </c:pt>
                <c:pt idx="11">
                  <c:v>0.41396207854116546</c:v>
                </c:pt>
                <c:pt idx="12">
                  <c:v>-0.63229223117097533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8C-48B7-9937-E8DA990CA630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A_I'!$BE$68:$BQ$68</c:f>
              <c:numCache>
                <c:formatCode>General</c:formatCode>
                <c:ptCount val="13"/>
                <c:pt idx="0">
                  <c:v>0.76012276806805801</c:v>
                </c:pt>
                <c:pt idx="1">
                  <c:v>0.76903680962320276</c:v>
                </c:pt>
                <c:pt idx="2">
                  <c:v>0.74781053511645024</c:v>
                </c:pt>
                <c:pt idx="3">
                  <c:v>0.77395831523238978</c:v>
                </c:pt>
                <c:pt idx="4">
                  <c:v>0.75331447607250235</c:v>
                </c:pt>
                <c:pt idx="5">
                  <c:v>0.76211772386653642</c:v>
                </c:pt>
                <c:pt idx="6">
                  <c:v>#N/A</c:v>
                </c:pt>
                <c:pt idx="7">
                  <c:v>0.75402160694271803</c:v>
                </c:pt>
                <c:pt idx="8">
                  <c:v>#N/A</c:v>
                </c:pt>
                <c:pt idx="9">
                  <c:v>0.6122623076376601</c:v>
                </c:pt>
                <c:pt idx="10">
                  <c:v>#N/A</c:v>
                </c:pt>
                <c:pt idx="11">
                  <c:v>0.37172683759740577</c:v>
                </c:pt>
                <c:pt idx="12">
                  <c:v>-0.66508741043828867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8C-48B7-9937-E8DA990CA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A_I'!$BD$7</c:f>
          <c:strCache>
            <c:ptCount val="1"/>
            <c:pt idx="0">
              <c:v>Cornezuelo de Jaén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A_I'!$BE$7:$BQ$7</c:f>
              <c:numCache>
                <c:formatCode>General</c:formatCode>
                <c:ptCount val="13"/>
                <c:pt idx="0">
                  <c:v>3.8360235375</c:v>
                </c:pt>
                <c:pt idx="1">
                  <c:v>3.9550565541666662</c:v>
                </c:pt>
                <c:pt idx="2">
                  <c:v>3.997424520833333</c:v>
                </c:pt>
                <c:pt idx="3">
                  <c:v>3.734972908333333</c:v>
                </c:pt>
                <c:pt idx="4">
                  <c:v>3.5478702874999994</c:v>
                </c:pt>
                <c:pt idx="5">
                  <c:v>3.2596724416666669</c:v>
                </c:pt>
                <c:pt idx="6">
                  <c:v>2.9620661583333332</c:v>
                </c:pt>
                <c:pt idx="7">
                  <c:v>#N/A</c:v>
                </c:pt>
                <c:pt idx="8">
                  <c:v>2.5753882000000003</c:v>
                </c:pt>
                <c:pt idx="9">
                  <c:v>#N/A</c:v>
                </c:pt>
                <c:pt idx="10">
                  <c:v>1.8847633291666668</c:v>
                </c:pt>
                <c:pt idx="11">
                  <c:v>1.0583316333333332</c:v>
                </c:pt>
                <c:pt idx="12">
                  <c:v>-1.1259677916666668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EB-444C-9319-D8CF886E97EE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A_I'!$BE$38:$BQ$38</c:f>
              <c:numCache>
                <c:formatCode>General</c:formatCode>
                <c:ptCount val="13"/>
                <c:pt idx="0">
                  <c:v>0.82246395727198751</c:v>
                </c:pt>
                <c:pt idx="1">
                  <c:v>0.84192366838631505</c:v>
                </c:pt>
                <c:pt idx="2">
                  <c:v>0.87532451690326041</c:v>
                </c:pt>
                <c:pt idx="3">
                  <c:v>0.92778692324134848</c:v>
                </c:pt>
                <c:pt idx="4">
                  <c:v>0.95799809986887341</c:v>
                </c:pt>
                <c:pt idx="5">
                  <c:v>0.99144629170733722</c:v>
                </c:pt>
                <c:pt idx="6">
                  <c:v>#N/A</c:v>
                </c:pt>
                <c:pt idx="7">
                  <c:v>1.0109473892418375</c:v>
                </c:pt>
                <c:pt idx="8">
                  <c:v>#N/A</c:v>
                </c:pt>
                <c:pt idx="9">
                  <c:v>0.95860921801143151</c:v>
                </c:pt>
                <c:pt idx="10">
                  <c:v>#N/A</c:v>
                </c:pt>
                <c:pt idx="11">
                  <c:v>0.47808223764046581</c:v>
                </c:pt>
                <c:pt idx="12">
                  <c:v>-0.81728947462690926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EB-444C-9319-D8CF886E97EE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A_I'!$BE$69:$BQ$69</c:f>
              <c:numCache>
                <c:formatCode>General</c:formatCode>
                <c:ptCount val="13"/>
                <c:pt idx="0">
                  <c:v>0.41780618780115114</c:v>
                </c:pt>
                <c:pt idx="1">
                  <c:v>0.43054614860472307</c:v>
                </c:pt>
                <c:pt idx="2">
                  <c:v>0.58520744434943506</c:v>
                </c:pt>
                <c:pt idx="3">
                  <c:v>0.76246099941031253</c:v>
                </c:pt>
                <c:pt idx="4">
                  <c:v>0.71238905960565679</c:v>
                </c:pt>
                <c:pt idx="5">
                  <c:v>0.75840001936434176</c:v>
                </c:pt>
                <c:pt idx="6">
                  <c:v>#N/A</c:v>
                </c:pt>
                <c:pt idx="7">
                  <c:v>0.9124205338514052</c:v>
                </c:pt>
                <c:pt idx="8">
                  <c:v>#N/A</c:v>
                </c:pt>
                <c:pt idx="9">
                  <c:v>0.97649232939663555</c:v>
                </c:pt>
                <c:pt idx="10">
                  <c:v>#N/A</c:v>
                </c:pt>
                <c:pt idx="11">
                  <c:v>0.53953409689394416</c:v>
                </c:pt>
                <c:pt idx="12">
                  <c:v>-0.641925205810431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EB-444C-9319-D8CF886E9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A_I'!$BD$8</c:f>
          <c:strCache>
            <c:ptCount val="1"/>
            <c:pt idx="0">
              <c:v>Empeltre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A_I'!$BE$8:$BQ$8</c:f>
              <c:numCache>
                <c:formatCode>General</c:formatCode>
                <c:ptCount val="13"/>
                <c:pt idx="0">
                  <c:v>12.443235666666666</c:v>
                </c:pt>
                <c:pt idx="1">
                  <c:v>13.46054</c:v>
                </c:pt>
                <c:pt idx="2">
                  <c:v>13.306916666666666</c:v>
                </c:pt>
                <c:pt idx="3">
                  <c:v>13.124483333333336</c:v>
                </c:pt>
                <c:pt idx="4">
                  <c:v>12.602886666666668</c:v>
                </c:pt>
                <c:pt idx="5">
                  <c:v>11.770449999999999</c:v>
                </c:pt>
                <c:pt idx="6">
                  <c:v>10.714729</c:v>
                </c:pt>
                <c:pt idx="7">
                  <c:v>#N/A</c:v>
                </c:pt>
                <c:pt idx="8">
                  <c:v>8.5626630000000006</c:v>
                </c:pt>
                <c:pt idx="9">
                  <c:v>#N/A</c:v>
                </c:pt>
                <c:pt idx="10">
                  <c:v>4.9301550000000001</c:v>
                </c:pt>
                <c:pt idx="11">
                  <c:v>2.2101640000000002</c:v>
                </c:pt>
                <c:pt idx="12">
                  <c:v>-0.88532333333333335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00-4FEA-8609-0B7135EA29A9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A_I'!$BE$39:$BQ$39</c:f>
              <c:numCache>
                <c:formatCode>General</c:formatCode>
                <c:ptCount val="13"/>
                <c:pt idx="0">
                  <c:v>1.5147902909510422</c:v>
                </c:pt>
                <c:pt idx="1">
                  <c:v>1.5630090760148418</c:v>
                </c:pt>
                <c:pt idx="2">
                  <c:v>1.7896771599748198</c:v>
                </c:pt>
                <c:pt idx="3">
                  <c:v>2.0664276699234119</c:v>
                </c:pt>
                <c:pt idx="4">
                  <c:v>2.256714722726358</c:v>
                </c:pt>
                <c:pt idx="5">
                  <c:v>2.3298090290017717</c:v>
                </c:pt>
                <c:pt idx="6">
                  <c:v>#N/A</c:v>
                </c:pt>
                <c:pt idx="7">
                  <c:v>2.3024964685723806</c:v>
                </c:pt>
                <c:pt idx="8">
                  <c:v>#N/A</c:v>
                </c:pt>
                <c:pt idx="9">
                  <c:v>1.6811894618155432</c:v>
                </c:pt>
                <c:pt idx="10">
                  <c:v>#N/A</c:v>
                </c:pt>
                <c:pt idx="11">
                  <c:v>0.21559967599732979</c:v>
                </c:pt>
                <c:pt idx="12">
                  <c:v>-1.2723912592285127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00-4FEA-8609-0B7135EA29A9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A_I'!$BE$70:$BQ$70</c:f>
              <c:numCache>
                <c:formatCode>General</c:formatCode>
                <c:ptCount val="13"/>
                <c:pt idx="0">
                  <c:v>0.47483466602249996</c:v>
                </c:pt>
                <c:pt idx="1">
                  <c:v>0.48492724417999999</c:v>
                </c:pt>
                <c:pt idx="2">
                  <c:v>0.44331638812250002</c:v>
                </c:pt>
                <c:pt idx="3">
                  <c:v>0.39794382307999998</c:v>
                </c:pt>
                <c:pt idx="4">
                  <c:v>0.41270620506499994</c:v>
                </c:pt>
                <c:pt idx="5">
                  <c:v>0.40196855411249999</c:v>
                </c:pt>
                <c:pt idx="6">
                  <c:v>#N/A</c:v>
                </c:pt>
                <c:pt idx="7">
                  <c:v>0.46108015162500005</c:v>
                </c:pt>
                <c:pt idx="8">
                  <c:v>#N/A</c:v>
                </c:pt>
                <c:pt idx="9">
                  <c:v>0.34764145056000001</c:v>
                </c:pt>
                <c:pt idx="10">
                  <c:v>#N/A</c:v>
                </c:pt>
                <c:pt idx="11">
                  <c:v>5.2078602812499965E-2</c:v>
                </c:pt>
                <c:pt idx="12">
                  <c:v>-0.69845595741349387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00-4FEA-8609-0B7135EA2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981227789004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A_I'!$BD$9</c:f>
          <c:strCache>
            <c:ptCount val="1"/>
            <c:pt idx="0">
              <c:v>Frantoio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A_I'!$BE$9:$BQ$9</c:f>
              <c:numCache>
                <c:formatCode>General</c:formatCode>
                <c:ptCount val="13"/>
                <c:pt idx="0">
                  <c:v>2.758376133333333</c:v>
                </c:pt>
                <c:pt idx="1">
                  <c:v>2.2924029333333333</c:v>
                </c:pt>
                <c:pt idx="2">
                  <c:v>2.1505159958333335</c:v>
                </c:pt>
                <c:pt idx="3">
                  <c:v>2.004207333333333</c:v>
                </c:pt>
                <c:pt idx="4">
                  <c:v>1.7530294833333335</c:v>
                </c:pt>
                <c:pt idx="5">
                  <c:v>1.5546312833333331</c:v>
                </c:pt>
                <c:pt idx="6">
                  <c:v>1.4075930458333332</c:v>
                </c:pt>
                <c:pt idx="7">
                  <c:v>#N/A</c:v>
                </c:pt>
                <c:pt idx="8">
                  <c:v>1.1450852874999999</c:v>
                </c:pt>
                <c:pt idx="9">
                  <c:v>#N/A</c:v>
                </c:pt>
                <c:pt idx="10">
                  <c:v>0.82461994999999999</c:v>
                </c:pt>
                <c:pt idx="11">
                  <c:v>0.33632894166666671</c:v>
                </c:pt>
                <c:pt idx="12">
                  <c:v>-1.3433869166666668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C8-40EA-B4F3-356FE1F162C0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A_I'!$BE$40:$BQ$40</c:f>
              <c:numCache>
                <c:formatCode>General</c:formatCode>
                <c:ptCount val="13"/>
                <c:pt idx="0">
                  <c:v>5.3509237668609773</c:v>
                </c:pt>
                <c:pt idx="1">
                  <c:v>5.1094779433240376</c:v>
                </c:pt>
                <c:pt idx="2">
                  <c:v>4.9008730768428368</c:v>
                </c:pt>
                <c:pt idx="3">
                  <c:v>5.0220706813972313</c:v>
                </c:pt>
                <c:pt idx="4">
                  <c:v>4.7009150249422111</c:v>
                </c:pt>
                <c:pt idx="5">
                  <c:v>4.5401325439241775</c:v>
                </c:pt>
                <c:pt idx="6">
                  <c:v>#N/A</c:v>
                </c:pt>
                <c:pt idx="7">
                  <c:v>4.2336724999331539</c:v>
                </c:pt>
                <c:pt idx="8">
                  <c:v>#N/A</c:v>
                </c:pt>
                <c:pt idx="9">
                  <c:v>3.4271560298168207</c:v>
                </c:pt>
                <c:pt idx="10">
                  <c:v>#N/A</c:v>
                </c:pt>
                <c:pt idx="11">
                  <c:v>1.7141490194956399</c:v>
                </c:pt>
                <c:pt idx="12">
                  <c:v>-0.69715662885127816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C8-40EA-B4F3-356FE1F162C0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A_I'!$BE$71:$BQ$71</c:f>
              <c:numCache>
                <c:formatCode>General</c:formatCode>
                <c:ptCount val="13"/>
                <c:pt idx="0">
                  <c:v>0.67071090478987117</c:v>
                </c:pt>
                <c:pt idx="1">
                  <c:v>0.69009196223517832</c:v>
                </c:pt>
                <c:pt idx="2">
                  <c:v>0.76330763790398726</c:v>
                </c:pt>
                <c:pt idx="3">
                  <c:v>0.92349699527854723</c:v>
                </c:pt>
                <c:pt idx="4">
                  <c:v>1.0469315332187723</c:v>
                </c:pt>
                <c:pt idx="5">
                  <c:v>1.1479193997181645</c:v>
                </c:pt>
                <c:pt idx="6">
                  <c:v>#N/A</c:v>
                </c:pt>
                <c:pt idx="7">
                  <c:v>1.2818172625386737</c:v>
                </c:pt>
                <c:pt idx="8">
                  <c:v>#N/A</c:v>
                </c:pt>
                <c:pt idx="9">
                  <c:v>1.3433993383081657</c:v>
                </c:pt>
                <c:pt idx="10">
                  <c:v>#N/A</c:v>
                </c:pt>
                <c:pt idx="11">
                  <c:v>0.95087856144367933</c:v>
                </c:pt>
                <c:pt idx="12">
                  <c:v>-0.76057214363691183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C8-40EA-B4F3-356FE1F1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A_I'!$BD$10</c:f>
          <c:strCache>
            <c:ptCount val="1"/>
            <c:pt idx="0">
              <c:v>Hojiblanca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A_I'!$BE$10:$BQ$10</c:f>
              <c:numCache>
                <c:formatCode>General</c:formatCode>
                <c:ptCount val="13"/>
                <c:pt idx="0">
                  <c:v>11.714339109375</c:v>
                </c:pt>
                <c:pt idx="1">
                  <c:v>11.843425781250001</c:v>
                </c:pt>
                <c:pt idx="2">
                  <c:v>11.486712562499999</c:v>
                </c:pt>
                <c:pt idx="3">
                  <c:v>11.062438734375</c:v>
                </c:pt>
                <c:pt idx="4">
                  <c:v>10.231680375</c:v>
                </c:pt>
                <c:pt idx="5">
                  <c:v>9.2682643593749994</c:v>
                </c:pt>
                <c:pt idx="6">
                  <c:v>8.0143435312499989</c:v>
                </c:pt>
                <c:pt idx="7">
                  <c:v>#N/A</c:v>
                </c:pt>
                <c:pt idx="8">
                  <c:v>6.398798109374999</c:v>
                </c:pt>
                <c:pt idx="9">
                  <c:v>#N/A</c:v>
                </c:pt>
                <c:pt idx="10">
                  <c:v>3.5707517343750004</c:v>
                </c:pt>
                <c:pt idx="11">
                  <c:v>1.4499361406250002</c:v>
                </c:pt>
                <c:pt idx="12">
                  <c:v>-1.0946578124999999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A4-4BED-8E2C-1767362C8755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A_I'!$BE$41:$BQ$41</c:f>
              <c:numCache>
                <c:formatCode>General</c:formatCode>
                <c:ptCount val="13"/>
                <c:pt idx="0">
                  <c:v>1.8000942066776817</c:v>
                </c:pt>
                <c:pt idx="1">
                  <c:v>2.0270017349900358</c:v>
                </c:pt>
                <c:pt idx="2">
                  <c:v>2.1408607559033386</c:v>
                </c:pt>
                <c:pt idx="3">
                  <c:v>2.176692181350496</c:v>
                </c:pt>
                <c:pt idx="4">
                  <c:v>2.2986410339841332</c:v>
                </c:pt>
                <c:pt idx="5">
                  <c:v>2.295885787055385</c:v>
                </c:pt>
                <c:pt idx="6">
                  <c:v>#N/A</c:v>
                </c:pt>
                <c:pt idx="7">
                  <c:v>2.2787235912437169</c:v>
                </c:pt>
                <c:pt idx="8">
                  <c:v>#N/A</c:v>
                </c:pt>
                <c:pt idx="9">
                  <c:v>1.9950561829278708</c:v>
                </c:pt>
                <c:pt idx="10">
                  <c:v>#N/A</c:v>
                </c:pt>
                <c:pt idx="11">
                  <c:v>1.0696683103346663</c:v>
                </c:pt>
                <c:pt idx="12">
                  <c:v>-0.60869550680287243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A4-4BED-8E2C-1767362C8755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A_I'!$BE$72:$BQ$72</c:f>
              <c:numCache>
                <c:formatCode>General</c:formatCode>
                <c:ptCount val="13"/>
                <c:pt idx="0">
                  <c:v>0.65493095662879119</c:v>
                </c:pt>
                <c:pt idx="1">
                  <c:v>0.71529282245838455</c:v>
                </c:pt>
                <c:pt idx="2">
                  <c:v>0.53123881641468074</c:v>
                </c:pt>
                <c:pt idx="3">
                  <c:v>0.51960672691203069</c:v>
                </c:pt>
                <c:pt idx="4">
                  <c:v>0.52930946922975974</c:v>
                </c:pt>
                <c:pt idx="5">
                  <c:v>0.52881609761579695</c:v>
                </c:pt>
                <c:pt idx="6">
                  <c:v>#N/A</c:v>
                </c:pt>
                <c:pt idx="7">
                  <c:v>0.48601052524480404</c:v>
                </c:pt>
                <c:pt idx="8">
                  <c:v>#N/A</c:v>
                </c:pt>
                <c:pt idx="9">
                  <c:v>0.41848076648720423</c:v>
                </c:pt>
                <c:pt idx="10">
                  <c:v>#N/A</c:v>
                </c:pt>
                <c:pt idx="11">
                  <c:v>0.29465529861352818</c:v>
                </c:pt>
                <c:pt idx="12">
                  <c:v>-0.75151993781043491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A4-4BED-8E2C-1767362C8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A_I'!$BD$11</c:f>
          <c:strCache>
            <c:ptCount val="1"/>
            <c:pt idx="0">
              <c:v>Koroneiki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A_I'!$BE$11:$BQ$11</c:f>
              <c:numCache>
                <c:formatCode>General</c:formatCode>
                <c:ptCount val="13"/>
                <c:pt idx="0">
                  <c:v>6.9000395624999999</c:v>
                </c:pt>
                <c:pt idx="1">
                  <c:v>7.8837402000000001</c:v>
                </c:pt>
                <c:pt idx="2">
                  <c:v>7.7975722125000004</c:v>
                </c:pt>
                <c:pt idx="3">
                  <c:v>7.1400761250000002</c:v>
                </c:pt>
                <c:pt idx="4">
                  <c:v>6.7218319999999991</c:v>
                </c:pt>
                <c:pt idx="5">
                  <c:v>5.4289407375000005</c:v>
                </c:pt>
                <c:pt idx="6">
                  <c:v>5.339636791666666</c:v>
                </c:pt>
                <c:pt idx="7">
                  <c:v>#N/A</c:v>
                </c:pt>
                <c:pt idx="8">
                  <c:v>3.8741615208333329</c:v>
                </c:pt>
                <c:pt idx="9">
                  <c:v>#N/A</c:v>
                </c:pt>
                <c:pt idx="10">
                  <c:v>2.684577</c:v>
                </c:pt>
                <c:pt idx="11">
                  <c:v>1.1660735625</c:v>
                </c:pt>
                <c:pt idx="12">
                  <c:v>-1.0990323750000002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01-4711-99A7-BA18B9814998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A_I'!$BE$42:$BQ$42</c:f>
              <c:numCache>
                <c:formatCode>General</c:formatCode>
                <c:ptCount val="13"/>
                <c:pt idx="0">
                  <c:v>6.0175831247704741</c:v>
                </c:pt>
                <c:pt idx="1">
                  <c:v>6.4235892437549396</c:v>
                </c:pt>
                <c:pt idx="2">
                  <c:v>6.6860371966460992</c:v>
                </c:pt>
                <c:pt idx="3">
                  <c:v>6.7430766383159773</c:v>
                </c:pt>
                <c:pt idx="4">
                  <c:v>6.6672919210080854</c:v>
                </c:pt>
                <c:pt idx="5">
                  <c:v>6.4589384637242953</c:v>
                </c:pt>
                <c:pt idx="6">
                  <c:v>7.1804098776938092</c:v>
                </c:pt>
                <c:pt idx="7">
                  <c:v>4.8447899941082389</c:v>
                </c:pt>
                <c:pt idx="8">
                  <c:v>6.1699879957038304</c:v>
                </c:pt>
                <c:pt idx="9">
                  <c:v>3.7828572928013968</c:v>
                </c:pt>
                <c:pt idx="10">
                  <c:v>3.9331786288225001</c:v>
                </c:pt>
                <c:pt idx="11">
                  <c:v>1.5594488523251013</c:v>
                </c:pt>
                <c:pt idx="12">
                  <c:v>-0.91803698439709414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01-4711-99A7-BA18B9814998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A_I'!$BE$73:$BQ$73</c:f>
              <c:numCache>
                <c:formatCode>General</c:formatCode>
                <c:ptCount val="13"/>
                <c:pt idx="0">
                  <c:v>0.17171700725584665</c:v>
                </c:pt>
                <c:pt idx="1">
                  <c:v>0.26127567194027618</c:v>
                </c:pt>
                <c:pt idx="2">
                  <c:v>0.30703998264671467</c:v>
                </c:pt>
                <c:pt idx="3">
                  <c:v>0.36757367588129214</c:v>
                </c:pt>
                <c:pt idx="4">
                  <c:v>0.44973652502128747</c:v>
                </c:pt>
                <c:pt idx="5">
                  <c:v>0.49548137802486192</c:v>
                </c:pt>
                <c:pt idx="6">
                  <c:v>#N/A</c:v>
                </c:pt>
                <c:pt idx="7">
                  <c:v>0.48690892442443956</c:v>
                </c:pt>
                <c:pt idx="8">
                  <c:v>#N/A</c:v>
                </c:pt>
                <c:pt idx="9">
                  <c:v>0.45503324397504114</c:v>
                </c:pt>
                <c:pt idx="10">
                  <c:v>#N/A</c:v>
                </c:pt>
                <c:pt idx="11">
                  <c:v>0.29573865235752655</c:v>
                </c:pt>
                <c:pt idx="12">
                  <c:v>-0.42282281556754037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01-4711-99A7-BA18B981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2197664947054034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A_I'!$BD$12</c:f>
          <c:strCache>
            <c:ptCount val="1"/>
            <c:pt idx="0">
              <c:v>Martina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A_I'!$BE$12:$BQ$12</c:f>
              <c:numCache>
                <c:formatCode>General</c:formatCode>
                <c:ptCount val="13"/>
                <c:pt idx="0">
                  <c:v>1.0742620000000001</c:v>
                </c:pt>
                <c:pt idx="1">
                  <c:v>1.4474875</c:v>
                </c:pt>
                <c:pt idx="2">
                  <c:v>2.0612849999999998</c:v>
                </c:pt>
                <c:pt idx="3">
                  <c:v>2.0762040000000002</c:v>
                </c:pt>
                <c:pt idx="4">
                  <c:v>2.2517530000000003</c:v>
                </c:pt>
                <c:pt idx="5">
                  <c:v>2.3574169999999999</c:v>
                </c:pt>
                <c:pt idx="6">
                  <c:v>2.336732</c:v>
                </c:pt>
                <c:pt idx="7">
                  <c:v>#N/A</c:v>
                </c:pt>
                <c:pt idx="8">
                  <c:v>2.1744094999999999</c:v>
                </c:pt>
                <c:pt idx="9">
                  <c:v>#N/A</c:v>
                </c:pt>
                <c:pt idx="10">
                  <c:v>1.4942279999999997</c:v>
                </c:pt>
                <c:pt idx="11">
                  <c:v>0.63052850000000005</c:v>
                </c:pt>
                <c:pt idx="12">
                  <c:v>-0.88458999999999988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7F-412B-9FE9-AE1C180EAD9C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A_I'!$BE$43:$BQ$43</c:f>
              <c:numCache>
                <c:formatCode>General</c:formatCode>
                <c:ptCount val="13"/>
                <c:pt idx="0">
                  <c:v>8.8867483828205618</c:v>
                </c:pt>
                <c:pt idx="1">
                  <c:v>10.08461113104986</c:v>
                </c:pt>
                <c:pt idx="2">
                  <c:v>10.171689406103306</c:v>
                </c:pt>
                <c:pt idx="3">
                  <c:v>9.9112859545246543</c:v>
                </c:pt>
                <c:pt idx="4">
                  <c:v>9.5345800554840281</c:v>
                </c:pt>
                <c:pt idx="5">
                  <c:v>8.8854699978257567</c:v>
                </c:pt>
                <c:pt idx="6">
                  <c:v>10.236297974354835</c:v>
                </c:pt>
                <c:pt idx="7">
                  <c:v>5.967513506230012</c:v>
                </c:pt>
                <c:pt idx="8">
                  <c:v>8.0883841527805291</c:v>
                </c:pt>
                <c:pt idx="9">
                  <c:v>4.0955647613451909</c:v>
                </c:pt>
                <c:pt idx="10">
                  <c:v>4.7972342708772571</c:v>
                </c:pt>
                <c:pt idx="11">
                  <c:v>1.8856824595133435</c:v>
                </c:pt>
                <c:pt idx="12">
                  <c:v>-0.74743421884891481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7F-412B-9FE9-AE1C180EAD9C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A_I'!$BE$74:$BQ$74</c:f>
              <c:numCache>
                <c:formatCode>General</c:formatCode>
                <c:ptCount val="13"/>
                <c:pt idx="0">
                  <c:v>3.5352488447196633</c:v>
                </c:pt>
                <c:pt idx="1">
                  <c:v>3.947864441385204</c:v>
                </c:pt>
                <c:pt idx="2">
                  <c:v>4.1736419986392139</c:v>
                </c:pt>
                <c:pt idx="3">
                  <c:v>4.215102496925641</c:v>
                </c:pt>
                <c:pt idx="4">
                  <c:v>4.1628274047633447</c:v>
                </c:pt>
                <c:pt idx="5">
                  <c:v>3.9300566610763408</c:v>
                </c:pt>
                <c:pt idx="6">
                  <c:v>#N/A</c:v>
                </c:pt>
                <c:pt idx="7">
                  <c:v>3.4295013111174</c:v>
                </c:pt>
                <c:pt idx="8">
                  <c:v>#N/A</c:v>
                </c:pt>
                <c:pt idx="9">
                  <c:v>2.6876321706423165</c:v>
                </c:pt>
                <c:pt idx="10">
                  <c:v>#N/A</c:v>
                </c:pt>
                <c:pt idx="11">
                  <c:v>1.1479676603930453</c:v>
                </c:pt>
                <c:pt idx="12">
                  <c:v>-1.008687056483117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7F-412B-9FE9-AE1C180E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164594080912300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A_I'!$C$10</c:f>
          <c:strCache>
            <c:ptCount val="1"/>
            <c:pt idx="0">
              <c:v>Chemlali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A_I'!$D$10:$P$10</c:f>
              <c:numCache>
                <c:formatCode>General</c:formatCode>
                <c:ptCount val="13"/>
                <c:pt idx="0">
                  <c:v>14.861142391430562</c:v>
                </c:pt>
                <c:pt idx="1">
                  <c:v>14.860467814270173</c:v>
                </c:pt>
                <c:pt idx="2">
                  <c:v>14.857071571342379</c:v>
                </c:pt>
                <c:pt idx="3">
                  <c:v>14.836980506587182</c:v>
                </c:pt>
                <c:pt idx="4">
                  <c:v>14.717999745307734</c:v>
                </c:pt>
                <c:pt idx="5">
                  <c:v>14.025203488967202</c:v>
                </c:pt>
                <c:pt idx="6">
                  <c:v>12.532461905889612</c:v>
                </c:pt>
                <c:pt idx="7">
                  <c:v>10.43404319518071</c:v>
                </c:pt>
                <c:pt idx="8">
                  <c:v>8.8861360964233587</c:v>
                </c:pt>
                <c:pt idx="9">
                  <c:v>5.8465573100908932</c:v>
                </c:pt>
                <c:pt idx="10">
                  <c:v>4.6503841159883059</c:v>
                </c:pt>
                <c:pt idx="11">
                  <c:v>2.0419670655303919</c:v>
                </c:pt>
                <c:pt idx="12">
                  <c:v>-0.73796683640796878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45-4D39-8500-18689CA90E50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A_I'!$D$41:$P$41</c:f>
              <c:numCache>
                <c:formatCode>General</c:formatCode>
                <c:ptCount val="13"/>
                <c:pt idx="0">
                  <c:v>0.88288919582519043</c:v>
                </c:pt>
                <c:pt idx="1">
                  <c:v>0.88289035808734406</c:v>
                </c:pt>
                <c:pt idx="2">
                  <c:v>0.88288045595407671</c:v>
                </c:pt>
                <c:pt idx="3">
                  <c:v>0.88280538963855026</c:v>
                </c:pt>
                <c:pt idx="4">
                  <c:v>0.88223741673642231</c:v>
                </c:pt>
                <c:pt idx="5">
                  <c:v>0.87799615597738911</c:v>
                </c:pt>
                <c:pt idx="6">
                  <c:v>0.86682034905229366</c:v>
                </c:pt>
                <c:pt idx="7">
                  <c:v>0.84707838260161938</c:v>
                </c:pt>
                <c:pt idx="8">
                  <c:v>0.82758300493003445</c:v>
                </c:pt>
                <c:pt idx="9">
                  <c:v>0.75620762888739723</c:v>
                </c:pt>
                <c:pt idx="10">
                  <c:v>0.70082306996634969</c:v>
                </c:pt>
                <c:pt idx="11">
                  <c:v>0.43485861521205144</c:v>
                </c:pt>
                <c:pt idx="12">
                  <c:v>-0.62124268887790013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45-4D39-8500-18689CA90E50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A_I'!$D$72:$P$72</c:f>
              <c:numCache>
                <c:formatCode>General</c:formatCode>
                <c:ptCount val="13"/>
                <c:pt idx="0">
                  <c:v>0.74223339686928558</c:v>
                </c:pt>
                <c:pt idx="1">
                  <c:v>0.74223339686927481</c:v>
                </c:pt>
                <c:pt idx="2">
                  <c:v>0.74223339686725731</c:v>
                </c:pt>
                <c:pt idx="3">
                  <c:v>0.74223339648991327</c:v>
                </c:pt>
                <c:pt idx="4">
                  <c:v>0.74223332585936397</c:v>
                </c:pt>
                <c:pt idx="5">
                  <c:v>0.74222000718837189</c:v>
                </c:pt>
                <c:pt idx="6">
                  <c:v>0.74191599118942186</c:v>
                </c:pt>
                <c:pt idx="7">
                  <c:v>0.73947043796679712</c:v>
                </c:pt>
                <c:pt idx="8">
                  <c:v>0.7341719029901147</c:v>
                </c:pt>
                <c:pt idx="9">
                  <c:v>0.69931504346779538</c:v>
                </c:pt>
                <c:pt idx="10">
                  <c:v>0.66641109417080124</c:v>
                </c:pt>
                <c:pt idx="11">
                  <c:v>0.50103152292747866</c:v>
                </c:pt>
                <c:pt idx="12">
                  <c:v>-0.64160199744424495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C45-4D39-8500-18689CA9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A_I'!$BD$13</c:f>
          <c:strCache>
            <c:ptCount val="1"/>
            <c:pt idx="0">
              <c:v>Manzanilla de Sevilla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A_I'!$BE$13:$BQ$13</c:f>
              <c:numCache>
                <c:formatCode>General</c:formatCode>
                <c:ptCount val="13"/>
                <c:pt idx="0">
                  <c:v>2.422892</c:v>
                </c:pt>
                <c:pt idx="1">
                  <c:v>2.3557866666666669</c:v>
                </c:pt>
                <c:pt idx="2">
                  <c:v>2.2939076666666667</c:v>
                </c:pt>
                <c:pt idx="3">
                  <c:v>2.3329720000000003</c:v>
                </c:pt>
                <c:pt idx="4">
                  <c:v>2.3244233333333333</c:v>
                </c:pt>
                <c:pt idx="5">
                  <c:v>2.2437043333333335</c:v>
                </c:pt>
                <c:pt idx="6">
                  <c:v>1.9614333333333336</c:v>
                </c:pt>
                <c:pt idx="7">
                  <c:v>#N/A</c:v>
                </c:pt>
                <c:pt idx="8">
                  <c:v>1.6136276666666667</c:v>
                </c:pt>
                <c:pt idx="9">
                  <c:v>#N/A</c:v>
                </c:pt>
                <c:pt idx="10">
                  <c:v>1.2333923333333332</c:v>
                </c:pt>
                <c:pt idx="11">
                  <c:v>0.52015400000000001</c:v>
                </c:pt>
                <c:pt idx="12">
                  <c:v>-1.4412999999999998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A8-4523-899B-A8D2FD834DBF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A_I'!$BE$44:$BQ$44</c:f>
              <c:numCache>
                <c:formatCode>General</c:formatCode>
                <c:ptCount val="13"/>
                <c:pt idx="0">
                  <c:v>2.1808662969283219</c:v>
                </c:pt>
                <c:pt idx="1">
                  <c:v>2.3688993575903377</c:v>
                </c:pt>
                <c:pt idx="2">
                  <c:v>2.5255853200319973</c:v>
                </c:pt>
                <c:pt idx="3">
                  <c:v>2.6335731470340753</c:v>
                </c:pt>
                <c:pt idx="4">
                  <c:v>2.724793502639077</c:v>
                </c:pt>
                <c:pt idx="5">
                  <c:v>2.6941744152951626</c:v>
                </c:pt>
                <c:pt idx="6">
                  <c:v>#N/A</c:v>
                </c:pt>
                <c:pt idx="7">
                  <c:v>2.4690033146535422</c:v>
                </c:pt>
                <c:pt idx="8">
                  <c:v>#N/A</c:v>
                </c:pt>
                <c:pt idx="9">
                  <c:v>1.9712618205441803</c:v>
                </c:pt>
                <c:pt idx="10">
                  <c:v>#N/A</c:v>
                </c:pt>
                <c:pt idx="11">
                  <c:v>0.35114144041894152</c:v>
                </c:pt>
                <c:pt idx="12">
                  <c:v>-1.9264850146540349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A8-4523-899B-A8D2FD834DBF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A_I'!$BE$75:$BQ$75</c:f>
              <c:numCache>
                <c:formatCode>General</c:formatCode>
                <c:ptCount val="13"/>
                <c:pt idx="0">
                  <c:v>0.90789883631395529</c:v>
                </c:pt>
                <c:pt idx="1">
                  <c:v>1.1016501700623018</c:v>
                </c:pt>
                <c:pt idx="2">
                  <c:v>1.3247704917003462</c:v>
                </c:pt>
                <c:pt idx="3">
                  <c:v>1.4522436176295253</c:v>
                </c:pt>
                <c:pt idx="4">
                  <c:v>1.6055247201992693</c:v>
                </c:pt>
                <c:pt idx="5">
                  <c:v>1.6051623051133799</c:v>
                </c:pt>
                <c:pt idx="6">
                  <c:v>#N/A</c:v>
                </c:pt>
                <c:pt idx="7">
                  <c:v>1.5524412379339942</c:v>
                </c:pt>
                <c:pt idx="8">
                  <c:v>#N/A</c:v>
                </c:pt>
                <c:pt idx="9">
                  <c:v>1.4063675900977932</c:v>
                </c:pt>
                <c:pt idx="10">
                  <c:v>#N/A</c:v>
                </c:pt>
                <c:pt idx="11">
                  <c:v>0.69324311800807203</c:v>
                </c:pt>
                <c:pt idx="12">
                  <c:v>-1.0784435220960147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A8-4523-899B-A8D2FD834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025251153950581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A_I'!$BD$14</c:f>
          <c:strCache>
            <c:ptCount val="1"/>
            <c:pt idx="0">
              <c:v>Picual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A_I'!$BE$14:$BQ$14</c:f>
              <c:numCache>
                <c:formatCode>General</c:formatCode>
                <c:ptCount val="13"/>
                <c:pt idx="0">
                  <c:v>11.987690673700762</c:v>
                </c:pt>
                <c:pt idx="1">
                  <c:v>12.839203814321744</c:v>
                </c:pt>
                <c:pt idx="2">
                  <c:v>13.971764</c:v>
                </c:pt>
                <c:pt idx="3">
                  <c:v>12.680180578556998</c:v>
                </c:pt>
                <c:pt idx="4">
                  <c:v>13.036940250000001</c:v>
                </c:pt>
                <c:pt idx="5">
                  <c:v>11.50221932600712</c:v>
                </c:pt>
                <c:pt idx="6">
                  <c:v>10.985628999999998</c:v>
                </c:pt>
                <c:pt idx="7">
                  <c:v>#N/A</c:v>
                </c:pt>
                <c:pt idx="8">
                  <c:v>8.0595650468688778</c:v>
                </c:pt>
                <c:pt idx="9">
                  <c:v>#N/A</c:v>
                </c:pt>
                <c:pt idx="10">
                  <c:v>4.5401691720696791</c:v>
                </c:pt>
                <c:pt idx="11">
                  <c:v>2.0315463409751273</c:v>
                </c:pt>
                <c:pt idx="12">
                  <c:v>-0.95901336499032419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9B-4F14-AA4B-3E989C9F51BC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A_I'!$BE$45:$BQ$45</c:f>
              <c:numCache>
                <c:formatCode>General</c:formatCode>
                <c:ptCount val="13"/>
                <c:pt idx="0">
                  <c:v>1.9328373259584415</c:v>
                </c:pt>
                <c:pt idx="1">
                  <c:v>3.0999874642980605</c:v>
                </c:pt>
                <c:pt idx="2">
                  <c:v>3.2982384865713938</c:v>
                </c:pt>
                <c:pt idx="3">
                  <c:v>3.8082281434487597</c:v>
                </c:pt>
                <c:pt idx="4">
                  <c:v>3.9540334518448281</c:v>
                </c:pt>
                <c:pt idx="5">
                  <c:v>3.6555332476948408</c:v>
                </c:pt>
                <c:pt idx="6">
                  <c:v>#N/A</c:v>
                </c:pt>
                <c:pt idx="7">
                  <c:v>3.2728536304308236</c:v>
                </c:pt>
                <c:pt idx="8">
                  <c:v>#N/A</c:v>
                </c:pt>
                <c:pt idx="9">
                  <c:v>2.3194116469883448</c:v>
                </c:pt>
                <c:pt idx="10">
                  <c:v>#N/A</c:v>
                </c:pt>
                <c:pt idx="11">
                  <c:v>1.0479127744857182</c:v>
                </c:pt>
                <c:pt idx="12">
                  <c:v>-0.90340414771993671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9B-4F14-AA4B-3E989C9F51BC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A_I'!$BE$76:$BQ$76</c:f>
              <c:numCache>
                <c:formatCode>General</c:formatCode>
                <c:ptCount val="13"/>
                <c:pt idx="0">
                  <c:v>0.79642567057451175</c:v>
                </c:pt>
                <c:pt idx="1">
                  <c:v>0.72988854760329058</c:v>
                </c:pt>
                <c:pt idx="2">
                  <c:v>0.41888520148830299</c:v>
                </c:pt>
                <c:pt idx="3">
                  <c:v>0.49102927895988874</c:v>
                </c:pt>
                <c:pt idx="4">
                  <c:v>0.5329715061032515</c:v>
                </c:pt>
                <c:pt idx="5">
                  <c:v>0.4212175119947954</c:v>
                </c:pt>
                <c:pt idx="6">
                  <c:v>#N/A</c:v>
                </c:pt>
                <c:pt idx="7">
                  <c:v>0.30500237325286556</c:v>
                </c:pt>
                <c:pt idx="8">
                  <c:v>#N/A</c:v>
                </c:pt>
                <c:pt idx="9">
                  <c:v>0.29882599432045609</c:v>
                </c:pt>
                <c:pt idx="10">
                  <c:v>#N/A</c:v>
                </c:pt>
                <c:pt idx="11">
                  <c:v>0.37743686404957116</c:v>
                </c:pt>
                <c:pt idx="12">
                  <c:v>-0.71980367993420946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B9B-4F14-AA4B-3E989C9F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A_I'!$BD$15</c:f>
          <c:strCache>
            <c:ptCount val="1"/>
            <c:pt idx="0">
              <c:v>Sikitita 1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A_I'!$BE$15:$BQ$15</c:f>
              <c:numCache>
                <c:formatCode>General</c:formatCode>
                <c:ptCount val="13"/>
                <c:pt idx="0">
                  <c:v>7.4903447128124991</c:v>
                </c:pt>
                <c:pt idx="1">
                  <c:v>8.2399192115624995</c:v>
                </c:pt>
                <c:pt idx="2">
                  <c:v>8.3049367603124988</c:v>
                </c:pt>
                <c:pt idx="3">
                  <c:v>8.2438161815624991</c:v>
                </c:pt>
                <c:pt idx="4">
                  <c:v>7.8900650915625015</c:v>
                </c:pt>
                <c:pt idx="5">
                  <c:v>7.2475607531250006</c:v>
                </c:pt>
                <c:pt idx="6">
                  <c:v>6.7634102353124996</c:v>
                </c:pt>
                <c:pt idx="7">
                  <c:v>#N/A</c:v>
                </c:pt>
                <c:pt idx="8">
                  <c:v>5.4164204324999998</c:v>
                </c:pt>
                <c:pt idx="9">
                  <c:v>#N/A</c:v>
                </c:pt>
                <c:pt idx="10">
                  <c:v>3.0772970353124998</c:v>
                </c:pt>
                <c:pt idx="11">
                  <c:v>1.164325903125</c:v>
                </c:pt>
                <c:pt idx="12">
                  <c:v>-0.9275869968749999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A1-4767-BCE5-9344D2ED778A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A_I'!$BE$46:$BQ$46</c:f>
              <c:numCache>
                <c:formatCode>General</c:formatCode>
                <c:ptCount val="13"/>
                <c:pt idx="0">
                  <c:v>3.297769677011186</c:v>
                </c:pt>
                <c:pt idx="1">
                  <c:v>3.4634149877442519</c:v>
                </c:pt>
                <c:pt idx="2">
                  <c:v>3.7453077482286083</c:v>
                </c:pt>
                <c:pt idx="3">
                  <c:v>3.7804901753717743</c:v>
                </c:pt>
                <c:pt idx="4">
                  <c:v>3.8476771117228736</c:v>
                </c:pt>
                <c:pt idx="5">
                  <c:v>3.933702505875257</c:v>
                </c:pt>
                <c:pt idx="6">
                  <c:v>4.2909966184775952</c:v>
                </c:pt>
                <c:pt idx="7">
                  <c:v>3.3905314435942437</c:v>
                </c:pt>
                <c:pt idx="8">
                  <c:v>4.1159732358257601</c:v>
                </c:pt>
                <c:pt idx="9">
                  <c:v>2.8114026634675424</c:v>
                </c:pt>
                <c:pt idx="10">
                  <c:v>2.9080231192014847</c:v>
                </c:pt>
                <c:pt idx="11">
                  <c:v>1.3569745911376372</c:v>
                </c:pt>
                <c:pt idx="12">
                  <c:v>-0.76408828063524636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A1-4767-BCE5-9344D2ED778A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A_I'!$BE$77:$BQ$77</c:f>
              <c:numCache>
                <c:formatCode>General</c:formatCode>
                <c:ptCount val="13"/>
                <c:pt idx="0">
                  <c:v>0.6162285987466718</c:v>
                </c:pt>
                <c:pt idx="1">
                  <c:v>0.74457367754736581</c:v>
                </c:pt>
                <c:pt idx="2">
                  <c:v>0.91411516293329065</c:v>
                </c:pt>
                <c:pt idx="3">
                  <c:v>1.153317225180716</c:v>
                </c:pt>
                <c:pt idx="4">
                  <c:v>1.2484447951908257</c:v>
                </c:pt>
                <c:pt idx="5">
                  <c:v>1.397842411668625</c:v>
                </c:pt>
                <c:pt idx="6">
                  <c:v>#N/A</c:v>
                </c:pt>
                <c:pt idx="7">
                  <c:v>1.3259554980303458</c:v>
                </c:pt>
                <c:pt idx="8">
                  <c:v>#N/A</c:v>
                </c:pt>
                <c:pt idx="9">
                  <c:v>1.1882445300241464</c:v>
                </c:pt>
                <c:pt idx="10">
                  <c:v>#N/A</c:v>
                </c:pt>
                <c:pt idx="11">
                  <c:v>0.59582674007262448</c:v>
                </c:pt>
                <c:pt idx="12">
                  <c:v>-0.6058649761696826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A1-4767-BCE5-9344D2ED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247352701601955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'[1]Experimental Curves A_I'!$BD$16</c:f>
          <c:strCache>
            <c:ptCount val="1"/>
            <c:pt idx="0">
              <c:v>Sikitita 2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'[1]Experimental Curves A_I'!$BC$3:$BC$16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A_I'!$BE$16:$BQ$16</c:f>
              <c:numCache>
                <c:formatCode>General</c:formatCode>
                <c:ptCount val="13"/>
                <c:pt idx="0">
                  <c:v>12.16001</c:v>
                </c:pt>
                <c:pt idx="1">
                  <c:v>12.540974999999998</c:v>
                </c:pt>
                <c:pt idx="2">
                  <c:v>12.352649999999999</c:v>
                </c:pt>
                <c:pt idx="3">
                  <c:v>11.981009999999999</c:v>
                </c:pt>
                <c:pt idx="4">
                  <c:v>11.510613999999999</c:v>
                </c:pt>
                <c:pt idx="5">
                  <c:v>10.684543499999998</c:v>
                </c:pt>
                <c:pt idx="6">
                  <c:v>9.7549655000000008</c:v>
                </c:pt>
                <c:pt idx="7">
                  <c:v>#N/A</c:v>
                </c:pt>
                <c:pt idx="8">
                  <c:v>7.5762615000000011</c:v>
                </c:pt>
                <c:pt idx="9">
                  <c:v>#N/A</c:v>
                </c:pt>
                <c:pt idx="10">
                  <c:v>3.9602310000000003</c:v>
                </c:pt>
                <c:pt idx="11">
                  <c:v>1.609599</c:v>
                </c:pt>
                <c:pt idx="12">
                  <c:v>-1.0585250000000002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2F-4528-8E39-5E10D3E10937}"/>
            </c:ext>
          </c:extLst>
        </c:ser>
        <c:ser>
          <c:idx val="1"/>
          <c:order val="1"/>
          <c:tx>
            <c:strRef>
              <c:f>'[1]Experimental Curves A_I'!$BC$34:$BC$47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A_I'!$BE$47:$BQ$47</c:f>
              <c:numCache>
                <c:formatCode>General</c:formatCode>
                <c:ptCount val="13"/>
                <c:pt idx="0">
                  <c:v>3.7645670571177843</c:v>
                </c:pt>
                <c:pt idx="1">
                  <c:v>3.937675112308892</c:v>
                </c:pt>
                <c:pt idx="2">
                  <c:v>4.0227512862140191</c:v>
                </c:pt>
                <c:pt idx="3">
                  <c:v>4.0006768516402484</c:v>
                </c:pt>
                <c:pt idx="4">
                  <c:v>3.9580281186462676</c:v>
                </c:pt>
                <c:pt idx="5">
                  <c:v>3.8956316097327059</c:v>
                </c:pt>
                <c:pt idx="6">
                  <c:v>2.2168155910161502</c:v>
                </c:pt>
                <c:pt idx="7">
                  <c:v>3.7412178767956341</c:v>
                </c:pt>
                <c:pt idx="8">
                  <c:v>2.0744903315224201</c:v>
                </c:pt>
                <c:pt idx="9">
                  <c:v>3.0885077239763512</c:v>
                </c:pt>
                <c:pt idx="10">
                  <c:v>1.7383812528698399</c:v>
                </c:pt>
                <c:pt idx="11">
                  <c:v>1.3220763249737011</c:v>
                </c:pt>
                <c:pt idx="12">
                  <c:v>-0.87474772005487578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F-4528-8E39-5E10D3E10937}"/>
            </c:ext>
          </c:extLst>
        </c:ser>
        <c:ser>
          <c:idx val="2"/>
          <c:order val="2"/>
          <c:tx>
            <c:strRef>
              <c:f>'[1]Experimental Curves A_I'!$BC$65:$BC$78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'[1]Experimental Curves A_I'!$BE$64:$BQ$64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'[1]Experimental Curves A_I'!$BE$78:$BQ$78</c:f>
              <c:numCache>
                <c:formatCode>General</c:formatCode>
                <c:ptCount val="13"/>
                <c:pt idx="0">
                  <c:v>3.1688652597550879</c:v>
                </c:pt>
                <c:pt idx="1">
                  <c:v>3.4755913468124473</c:v>
                </c:pt>
                <c:pt idx="2">
                  <c:v>3.6028866178740238</c:v>
                </c:pt>
                <c:pt idx="3">
                  <c:v>3.6345073182827834</c:v>
                </c:pt>
                <c:pt idx="4">
                  <c:v>3.7335527112512046</c:v>
                </c:pt>
                <c:pt idx="5">
                  <c:v>3.6933107578566005</c:v>
                </c:pt>
                <c:pt idx="6">
                  <c:v>#N/A</c:v>
                </c:pt>
                <c:pt idx="7">
                  <c:v>3.4137059547077055</c:v>
                </c:pt>
                <c:pt idx="8">
                  <c:v>#N/A</c:v>
                </c:pt>
                <c:pt idx="9">
                  <c:v>2.7916809874543942</c:v>
                </c:pt>
                <c:pt idx="10">
                  <c:v>#N/A</c:v>
                </c:pt>
                <c:pt idx="11">
                  <c:v>1.2955259047475143</c:v>
                </c:pt>
                <c:pt idx="12">
                  <c:v>-0.76838386084417587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2F-4528-8E39-5E10D3E1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ETR'!$C$7</c:f>
          <c:strCache>
            <c:ptCount val="1"/>
            <c:pt idx="0">
              <c:v>Arbequina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ETR'!$D$7:$P$7</c:f>
              <c:numCache>
                <c:formatCode>General</c:formatCode>
                <c:ptCount val="13"/>
                <c:pt idx="0">
                  <c:v>63.760930237829982</c:v>
                </c:pt>
                <c:pt idx="1">
                  <c:v>63.760352833630826</c:v>
                </c:pt>
                <c:pt idx="2">
                  <c:v>63.756799785440919</c:v>
                </c:pt>
                <c:pt idx="3">
                  <c:v>63.731501105140616</c:v>
                </c:pt>
                <c:pt idx="4">
                  <c:v>63.548858933756811</c:v>
                </c:pt>
                <c:pt idx="5">
                  <c:v>62.213809633269548</c:v>
                </c:pt>
                <c:pt idx="6">
                  <c:v>58.674878207736697</c:v>
                </c:pt>
                <c:pt idx="7">
                  <c:v>52.634719183406631</c:v>
                </c:pt>
                <c:pt idx="8">
                  <c:v>47.413708652508888</c:v>
                </c:pt>
                <c:pt idx="9">
                  <c:v>35.078169912255348</c:v>
                </c:pt>
                <c:pt idx="10">
                  <c:v>29.403819378378909</c:v>
                </c:pt>
                <c:pt idx="11">
                  <c:v>15.467439794650115</c:v>
                </c:pt>
                <c:pt idx="12">
                  <c:v>-1.0278063558887274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E9-4D00-BC10-72262A81B909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ETR'!$D$38:$P$38</c:f>
              <c:numCache>
                <c:formatCode>General</c:formatCode>
                <c:ptCount val="13"/>
                <c:pt idx="0">
                  <c:v>42.589112880540497</c:v>
                </c:pt>
                <c:pt idx="1">
                  <c:v>42.589112183380706</c:v>
                </c:pt>
                <c:pt idx="2">
                  <c:v>42.589100246366961</c:v>
                </c:pt>
                <c:pt idx="3">
                  <c:v>42.58887482920867</c:v>
                </c:pt>
                <c:pt idx="4">
                  <c:v>42.584333974706936</c:v>
                </c:pt>
                <c:pt idx="5">
                  <c:v>42.483978417739891</c:v>
                </c:pt>
                <c:pt idx="6">
                  <c:v>41.882379763625337</c:v>
                </c:pt>
                <c:pt idx="7">
                  <c:v>40.046593434656216</c:v>
                </c:pt>
                <c:pt idx="8">
                  <c:v>37.80119586116556</c:v>
                </c:pt>
                <c:pt idx="9">
                  <c:v>30.635924125801296</c:v>
                </c:pt>
                <c:pt idx="10">
                  <c:v>26.640884033437221</c:v>
                </c:pt>
                <c:pt idx="11">
                  <c:v>15.283470770069037</c:v>
                </c:pt>
                <c:pt idx="12">
                  <c:v>-0.43955883426799469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E9-4D00-BC10-72262A81B909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ETR'!$D$69:$P$69</c:f>
              <c:numCache>
                <c:formatCode>General</c:formatCode>
                <c:ptCount val="13"/>
                <c:pt idx="0">
                  <c:v>23.221071080799828</c:v>
                </c:pt>
                <c:pt idx="1">
                  <c:v>23.221071080590363</c:v>
                </c:pt>
                <c:pt idx="2">
                  <c:v>23.221071067595602</c:v>
                </c:pt>
                <c:pt idx="3">
                  <c:v>23.221070246276948</c:v>
                </c:pt>
                <c:pt idx="4">
                  <c:v>23.221017823027282</c:v>
                </c:pt>
                <c:pt idx="5">
                  <c:v>23.217557964424447</c:v>
                </c:pt>
                <c:pt idx="6">
                  <c:v>23.175715214117194</c:v>
                </c:pt>
                <c:pt idx="7">
                  <c:v>22.960448192675027</c:v>
                </c:pt>
                <c:pt idx="8">
                  <c:v>22.581966833766113</c:v>
                </c:pt>
                <c:pt idx="9">
                  <c:v>20.661295253557341</c:v>
                </c:pt>
                <c:pt idx="10">
                  <c:v>19.107777066057793</c:v>
                </c:pt>
                <c:pt idx="11">
                  <c:v>12.678755161914461</c:v>
                </c:pt>
                <c:pt idx="12">
                  <c:v>-2.9363178934207378E-2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E9-4D00-BC10-72262A81B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ETR'!$C$8</c:f>
          <c:strCache>
            <c:ptCount val="1"/>
            <c:pt idx="0">
              <c:v>Arbosana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ETR'!$D$8:$P$8</c:f>
              <c:numCache>
                <c:formatCode>General</c:formatCode>
                <c:ptCount val="13"/>
                <c:pt idx="0">
                  <c:v>60.138928958128069</c:v>
                </c:pt>
                <c:pt idx="1">
                  <c:v>60.13884708672007</c:v>
                </c:pt>
                <c:pt idx="2">
                  <c:v>60.138131801334389</c:v>
                </c:pt>
                <c:pt idx="3">
                  <c:v>60.131142899737625</c:v>
                </c:pt>
                <c:pt idx="4">
                  <c:v>60.061624754082366</c:v>
                </c:pt>
                <c:pt idx="5">
                  <c:v>59.352584754737613</c:v>
                </c:pt>
                <c:pt idx="6">
                  <c:v>56.945538512621404</c:v>
                </c:pt>
                <c:pt idx="7">
                  <c:v>52.066467815800927</c:v>
                </c:pt>
                <c:pt idx="8">
                  <c:v>47.419085840206463</c:v>
                </c:pt>
                <c:pt idx="9">
                  <c:v>35.647209455350072</c:v>
                </c:pt>
                <c:pt idx="10">
                  <c:v>30.047002469076013</c:v>
                </c:pt>
                <c:pt idx="11">
                  <c:v>16.135521046169178</c:v>
                </c:pt>
                <c:pt idx="12">
                  <c:v>-0.38179182814168205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36-4C22-930E-A3B3EEF73127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ETR'!$D$39:$P$39</c:f>
              <c:numCache>
                <c:formatCode>General</c:formatCode>
                <c:ptCount val="13"/>
                <c:pt idx="0">
                  <c:v>34.246934958297715</c:v>
                </c:pt>
                <c:pt idx="1">
                  <c:v>34.246934957596011</c:v>
                </c:pt>
                <c:pt idx="2">
                  <c:v>34.246934918263129</c:v>
                </c:pt>
                <c:pt idx="3">
                  <c:v>34.246932591377451</c:v>
                </c:pt>
                <c:pt idx="4">
                  <c:v>34.246787357002475</c:v>
                </c:pt>
                <c:pt idx="5">
                  <c:v>34.236960176557027</c:v>
                </c:pt>
                <c:pt idx="6">
                  <c:v>34.115188057444954</c:v>
                </c:pt>
                <c:pt idx="7">
                  <c:v>33.495460242688765</c:v>
                </c:pt>
                <c:pt idx="8">
                  <c:v>32.454413078160798</c:v>
                </c:pt>
                <c:pt idx="9">
                  <c:v>27.862131946121679</c:v>
                </c:pt>
                <c:pt idx="10">
                  <c:v>24.721740851433029</c:v>
                </c:pt>
                <c:pt idx="11">
                  <c:v>14.59816262824577</c:v>
                </c:pt>
                <c:pt idx="12">
                  <c:v>-0.2124395546920515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36-4C22-930E-A3B3EEF73127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ETR'!$D$70:$P$70</c:f>
              <c:numCache>
                <c:formatCode>General</c:formatCode>
                <c:ptCount val="13"/>
                <c:pt idx="0">
                  <c:v>28.375354334070593</c:v>
                </c:pt>
                <c:pt idx="1">
                  <c:v>28.375354334025392</c:v>
                </c:pt>
                <c:pt idx="2">
                  <c:v>28.375354330085418</c:v>
                </c:pt>
                <c:pt idx="3">
                  <c:v>28.375353975668261</c:v>
                </c:pt>
                <c:pt idx="4">
                  <c:v>28.375321015994921</c:v>
                </c:pt>
                <c:pt idx="5">
                  <c:v>28.372068652265412</c:v>
                </c:pt>
                <c:pt idx="6">
                  <c:v>28.321004611127741</c:v>
                </c:pt>
                <c:pt idx="7">
                  <c:v>28.010962407548277</c:v>
                </c:pt>
                <c:pt idx="8">
                  <c:v>27.424274376955612</c:v>
                </c:pt>
                <c:pt idx="9">
                  <c:v>24.415817663370898</c:v>
                </c:pt>
                <c:pt idx="10">
                  <c:v>22.109546024391658</c:v>
                </c:pt>
                <c:pt idx="11">
                  <c:v>13.759007729715245</c:v>
                </c:pt>
                <c:pt idx="12">
                  <c:v>7.2725730222016671E-2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36-4C22-930E-A3B3EEF7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ETR'!$C$9</c:f>
          <c:strCache>
            <c:ptCount val="1"/>
            <c:pt idx="0">
              <c:v>Cornicabra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ETR'!$D$9:$P$9</c:f>
              <c:numCache>
                <c:formatCode>General</c:formatCode>
                <c:ptCount val="13"/>
                <c:pt idx="0">
                  <c:v>53.33250829248837</c:v>
                </c:pt>
                <c:pt idx="1">
                  <c:v>53.332503296452131</c:v>
                </c:pt>
                <c:pt idx="2">
                  <c:v>53.332431876346618</c:v>
                </c:pt>
                <c:pt idx="3">
                  <c:v>53.331339565334382</c:v>
                </c:pt>
                <c:pt idx="4">
                  <c:v>53.314439603655977</c:v>
                </c:pt>
                <c:pt idx="5">
                  <c:v>53.044764235938203</c:v>
                </c:pt>
                <c:pt idx="6">
                  <c:v>51.781503032363503</c:v>
                </c:pt>
                <c:pt idx="7">
                  <c:v>48.553575375610045</c:v>
                </c:pt>
                <c:pt idx="8">
                  <c:v>45.012480242431167</c:v>
                </c:pt>
                <c:pt idx="9">
                  <c:v>34.868655156683367</c:v>
                </c:pt>
                <c:pt idx="10">
                  <c:v>29.6649353486537</c:v>
                </c:pt>
                <c:pt idx="11">
                  <c:v>16.146960388420524</c:v>
                </c:pt>
                <c:pt idx="12">
                  <c:v>-0.43047121780678493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F0-453A-A618-CF676158B016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ETR'!$D$40:$P$40</c:f>
              <c:numCache>
                <c:formatCode>General</c:formatCode>
                <c:ptCount val="13"/>
                <c:pt idx="0">
                  <c:v>61.908258135502784</c:v>
                </c:pt>
                <c:pt idx="1">
                  <c:v>63.67569203205332</c:v>
                </c:pt>
                <c:pt idx="2">
                  <c:v>63.669896939016034</c:v>
                </c:pt>
                <c:pt idx="3">
                  <c:v>63.63625471710926</c:v>
                </c:pt>
                <c:pt idx="4">
                  <c:v>63.430332317912807</c:v>
                </c:pt>
                <c:pt idx="5">
                  <c:v>62.075437492122397</c:v>
                </c:pt>
                <c:pt idx="6">
                  <c:v>58.580220499867842</c:v>
                </c:pt>
                <c:pt idx="7">
                  <c:v>52.573818864161026</c:v>
                </c:pt>
                <c:pt idx="8">
                  <c:v>47.338233510166141</c:v>
                </c:pt>
                <c:pt idx="9">
                  <c:v>34.964695951234567</c:v>
                </c:pt>
                <c:pt idx="10">
                  <c:v>29.317469448129899</c:v>
                </c:pt>
                <c:pt idx="11">
                  <c:v>15.614139292404429</c:v>
                </c:pt>
                <c:pt idx="12">
                  <c:v>-0.38928749866926826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F0-453A-A618-CF676158B016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ETR'!$D$71:$P$71</c:f>
              <c:numCache>
                <c:formatCode>General</c:formatCode>
                <c:ptCount val="13"/>
                <c:pt idx="0">
                  <c:v>64.061703170934678</c:v>
                </c:pt>
                <c:pt idx="1">
                  <c:v>64.061636657541953</c:v>
                </c:pt>
                <c:pt idx="2">
                  <c:v>64.060997469625917</c:v>
                </c:pt>
                <c:pt idx="3">
                  <c:v>64.054223108579876</c:v>
                </c:pt>
                <c:pt idx="4">
                  <c:v>63.981575615291909</c:v>
                </c:pt>
                <c:pt idx="5">
                  <c:v>63.188488390827182</c:v>
                </c:pt>
                <c:pt idx="6">
                  <c:v>60.397582189850247</c:v>
                </c:pt>
                <c:pt idx="7">
                  <c:v>54.704282499402559</c:v>
                </c:pt>
                <c:pt idx="8">
                  <c:v>49.352213546576557</c:v>
                </c:pt>
                <c:pt idx="9">
                  <c:v>36.266202922396054</c:v>
                </c:pt>
                <c:pt idx="10">
                  <c:v>30.278181362246713</c:v>
                </c:pt>
                <c:pt idx="11">
                  <c:v>15.931884731840352</c:v>
                </c:pt>
                <c:pt idx="12">
                  <c:v>-0.53111314898928486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F0-453A-A618-CF676158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40456149877817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ETR'!$C$10</c:f>
          <c:strCache>
            <c:ptCount val="1"/>
            <c:pt idx="0">
              <c:v>Chemlali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ETR'!$D$10:$P$10</c:f>
              <c:numCache>
                <c:formatCode>General</c:formatCode>
                <c:ptCount val="13"/>
                <c:pt idx="0">
                  <c:v>87.69297210372909</c:v>
                </c:pt>
                <c:pt idx="1">
                  <c:v>87.689634092209744</c:v>
                </c:pt>
                <c:pt idx="2">
                  <c:v>87.673591698189526</c:v>
                </c:pt>
                <c:pt idx="3">
                  <c:v>87.580491061052982</c:v>
                </c:pt>
                <c:pt idx="4">
                  <c:v>87.02558328405344</c:v>
                </c:pt>
                <c:pt idx="5">
                  <c:v>83.664323444240452</c:v>
                </c:pt>
                <c:pt idx="6">
                  <c:v>76.018129735167008</c:v>
                </c:pt>
                <c:pt idx="7">
                  <c:v>64.689959581604043</c:v>
                </c:pt>
                <c:pt idx="8">
                  <c:v>56.01565418911099</c:v>
                </c:pt>
                <c:pt idx="9">
                  <c:v>38.402465032648706</c:v>
                </c:pt>
                <c:pt idx="10">
                  <c:v>31.310683477262625</c:v>
                </c:pt>
                <c:pt idx="11">
                  <c:v>15.635775820675903</c:v>
                </c:pt>
                <c:pt idx="12">
                  <c:v>-1.2443149599283307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C2-4844-9230-9F503ECD7A08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ETR'!$D$41:$P$41</c:f>
              <c:numCache>
                <c:formatCode>General</c:formatCode>
                <c:ptCount val="13"/>
                <c:pt idx="0">
                  <c:v>29.682697590114092</c:v>
                </c:pt>
                <c:pt idx="1">
                  <c:v>29.682697590076796</c:v>
                </c:pt>
                <c:pt idx="2">
                  <c:v>29.682697586402004</c:v>
                </c:pt>
                <c:pt idx="3">
                  <c:v>29.682697220049548</c:v>
                </c:pt>
                <c:pt idx="4">
                  <c:v>29.682660455640917</c:v>
                </c:pt>
                <c:pt idx="5">
                  <c:v>29.678880916005198</c:v>
                </c:pt>
                <c:pt idx="6">
                  <c:v>29.619248486046548</c:v>
                </c:pt>
                <c:pt idx="7">
                  <c:v>29.260349177244436</c:v>
                </c:pt>
                <c:pt idx="8">
                  <c:v>28.589361415247961</c:v>
                </c:pt>
                <c:pt idx="9">
                  <c:v>25.227978800705973</c:v>
                </c:pt>
                <c:pt idx="10">
                  <c:v>22.707732096917386</c:v>
                </c:pt>
                <c:pt idx="11">
                  <c:v>13.838626312464351</c:v>
                </c:pt>
                <c:pt idx="12">
                  <c:v>-0.23691515717986425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C2-4844-9230-9F503ECD7A08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ETR'!$D$72:$P$72</c:f>
              <c:numCache>
                <c:formatCode>General</c:formatCode>
                <c:ptCount val="13"/>
                <c:pt idx="0">
                  <c:v>23.269469426437944</c:v>
                </c:pt>
                <c:pt idx="1">
                  <c:v>23.269469426437325</c:v>
                </c:pt>
                <c:pt idx="2">
                  <c:v>23.269469426341583</c:v>
                </c:pt>
                <c:pt idx="3">
                  <c:v>23.269469410880156</c:v>
                </c:pt>
                <c:pt idx="4">
                  <c:v>23.269466748266076</c:v>
                </c:pt>
                <c:pt idx="5">
                  <c:v>23.268945522309632</c:v>
                </c:pt>
                <c:pt idx="6">
                  <c:v>23.255758536959082</c:v>
                </c:pt>
                <c:pt idx="7">
                  <c:v>23.14194260848226</c:v>
                </c:pt>
                <c:pt idx="8">
                  <c:v>22.874408055134694</c:v>
                </c:pt>
                <c:pt idx="9">
                  <c:v>21.113525340815038</c:v>
                </c:pt>
                <c:pt idx="10">
                  <c:v>19.521945785225565</c:v>
                </c:pt>
                <c:pt idx="11">
                  <c:v>12.753654443112271</c:v>
                </c:pt>
                <c:pt idx="12">
                  <c:v>-0.17806861983607039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2-4844-9230-9F503ECD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ETR'!$C$11</c:f>
          <c:strCache>
            <c:ptCount val="1"/>
            <c:pt idx="0">
              <c:v>Cornezuelo de Jaén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ETR'!$D$11:$P$11</c:f>
              <c:numCache>
                <c:formatCode>General</c:formatCode>
                <c:ptCount val="13"/>
                <c:pt idx="0">
                  <c:v>35.085800210792065</c:v>
                </c:pt>
                <c:pt idx="1">
                  <c:v>35.08580007012533</c:v>
                </c:pt>
                <c:pt idx="2">
                  <c:v>35.085796692375212</c:v>
                </c:pt>
                <c:pt idx="3">
                  <c:v>35.085712278326483</c:v>
                </c:pt>
                <c:pt idx="4">
                  <c:v>35.083595500850436</c:v>
                </c:pt>
                <c:pt idx="5">
                  <c:v>35.029649833401272</c:v>
                </c:pt>
                <c:pt idx="6">
                  <c:v>34.684472521414932</c:v>
                </c:pt>
                <c:pt idx="7">
                  <c:v>33.5674831529833</c:v>
                </c:pt>
                <c:pt idx="8">
                  <c:v>32.115207004706349</c:v>
                </c:pt>
                <c:pt idx="9">
                  <c:v>26.965150223153294</c:v>
                </c:pt>
                <c:pt idx="10">
                  <c:v>23.797442461803023</c:v>
                </c:pt>
                <c:pt idx="11">
                  <c:v>13.999318786612628</c:v>
                </c:pt>
                <c:pt idx="12">
                  <c:v>-0.27272233317121353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F6-42EC-8A56-5A1AE46960E1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ETR'!$D$42:$P$42</c:f>
              <c:numCache>
                <c:formatCode>General</c:formatCode>
                <c:ptCount val="13"/>
                <c:pt idx="0">
                  <c:v>29.59115072402718</c:v>
                </c:pt>
                <c:pt idx="1">
                  <c:v>29.591150723946932</c:v>
                </c:pt>
                <c:pt idx="2">
                  <c:v>29.591150718382039</c:v>
                </c:pt>
                <c:pt idx="3">
                  <c:v>29.591150315090538</c:v>
                </c:pt>
                <c:pt idx="4">
                  <c:v>29.591119221175422</c:v>
                </c:pt>
                <c:pt idx="5">
                  <c:v>29.588390380958185</c:v>
                </c:pt>
                <c:pt idx="6">
                  <c:v>29.546029122066408</c:v>
                </c:pt>
                <c:pt idx="7">
                  <c:v>29.281245605537276</c:v>
                </c:pt>
                <c:pt idx="8">
                  <c:v>28.763546822922528</c:v>
                </c:pt>
                <c:pt idx="9">
                  <c:v>25.964520865665769</c:v>
                </c:pt>
                <c:pt idx="10">
                  <c:v>23.719101416539413</c:v>
                </c:pt>
                <c:pt idx="11">
                  <c:v>15.084933598319248</c:v>
                </c:pt>
                <c:pt idx="12">
                  <c:v>-0.29639650292495823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F6-42EC-8A56-5A1AE46960E1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ETR'!$D$73:$P$73</c:f>
              <c:numCache>
                <c:formatCode>General</c:formatCode>
                <c:ptCount val="13"/>
                <c:pt idx="0">
                  <c:v>13.931871257228403</c:v>
                </c:pt>
                <c:pt idx="1">
                  <c:v>13.931871257228403</c:v>
                </c:pt>
                <c:pt idx="2">
                  <c:v>13.931871257228398</c:v>
                </c:pt>
                <c:pt idx="3">
                  <c:v>13.931871257223492</c:v>
                </c:pt>
                <c:pt idx="4">
                  <c:v>13.931871250822175</c:v>
                </c:pt>
                <c:pt idx="5">
                  <c:v>13.931862835887731</c:v>
                </c:pt>
                <c:pt idx="6">
                  <c:v>13.931234099260593</c:v>
                </c:pt>
                <c:pt idx="7">
                  <c:v>13.920212962320642</c:v>
                </c:pt>
                <c:pt idx="8">
                  <c:v>13.881362725956208</c:v>
                </c:pt>
                <c:pt idx="9">
                  <c:v>13.467534356379057</c:v>
                </c:pt>
                <c:pt idx="10">
                  <c:v>12.958205551916217</c:v>
                </c:pt>
                <c:pt idx="11">
                  <c:v>9.7910612806759723</c:v>
                </c:pt>
                <c:pt idx="12">
                  <c:v>-3.5308316372618158E-2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F6-42EC-8A56-5A1AE469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ETR'!$C$12</c:f>
          <c:strCache>
            <c:ptCount val="1"/>
            <c:pt idx="0">
              <c:v>Empeltre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ETR'!$D$12:$P$12</c:f>
              <c:numCache>
                <c:formatCode>General</c:formatCode>
                <c:ptCount val="13"/>
                <c:pt idx="0">
                  <c:v>93.275914768566807</c:v>
                </c:pt>
                <c:pt idx="1">
                  <c:v>93.272168221044808</c:v>
                </c:pt>
                <c:pt idx="2">
                  <c:v>93.253273658722833</c:v>
                </c:pt>
                <c:pt idx="3">
                  <c:v>93.140658312567439</c:v>
                </c:pt>
                <c:pt idx="4">
                  <c:v>92.464899236433993</c:v>
                </c:pt>
                <c:pt idx="5">
                  <c:v>88.452409025166048</c:v>
                </c:pt>
                <c:pt idx="6">
                  <c:v>79.643107822575701</c:v>
                </c:pt>
                <c:pt idx="7">
                  <c:v>67.069148909820925</c:v>
                </c:pt>
                <c:pt idx="8">
                  <c:v>57.701702525800705</c:v>
                </c:pt>
                <c:pt idx="9">
                  <c:v>39.15380423139397</c:v>
                </c:pt>
                <c:pt idx="10">
                  <c:v>31.814438606387764</c:v>
                </c:pt>
                <c:pt idx="11">
                  <c:v>15.759570776395783</c:v>
                </c:pt>
                <c:pt idx="12">
                  <c:v>-1.391889044971123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47-465B-8284-892F415FE538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ETR'!$D$43:$P$43</c:f>
              <c:numCache>
                <c:formatCode>General</c:formatCode>
                <c:ptCount val="13"/>
                <c:pt idx="0">
                  <c:v>45.459525042560976</c:v>
                </c:pt>
                <c:pt idx="1">
                  <c:v>45.459522112282592</c:v>
                </c:pt>
                <c:pt idx="2">
                  <c:v>45.459479893259456</c:v>
                </c:pt>
                <c:pt idx="3">
                  <c:v>45.458819778569463</c:v>
                </c:pt>
                <c:pt idx="4">
                  <c:v>45.448174734572618</c:v>
                </c:pt>
                <c:pt idx="5">
                  <c:v>45.266927308287627</c:v>
                </c:pt>
                <c:pt idx="6">
                  <c:v>44.368326199827422</c:v>
                </c:pt>
                <c:pt idx="7">
                  <c:v>41.964297968230703</c:v>
                </c:pt>
                <c:pt idx="8">
                  <c:v>39.241725785606498</c:v>
                </c:pt>
                <c:pt idx="9">
                  <c:v>31.149778091022345</c:v>
                </c:pt>
                <c:pt idx="10">
                  <c:v>26.859188999379054</c:v>
                </c:pt>
                <c:pt idx="11">
                  <c:v>15.194290279150191</c:v>
                </c:pt>
                <c:pt idx="12">
                  <c:v>-0.59714123506981132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47-465B-8284-892F415FE538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ETR'!$D$74:$P$74</c:f>
              <c:numCache>
                <c:formatCode>General</c:formatCode>
                <c:ptCount val="13"/>
                <c:pt idx="0">
                  <c:v>2.7593448923330053</c:v>
                </c:pt>
                <c:pt idx="1">
                  <c:v>2.7593448923330053</c:v>
                </c:pt>
                <c:pt idx="2">
                  <c:v>2.7593448923330053</c:v>
                </c:pt>
                <c:pt idx="3">
                  <c:v>2.7593448923330035</c:v>
                </c:pt>
                <c:pt idx="4">
                  <c:v>2.7593448923213928</c:v>
                </c:pt>
                <c:pt idx="5">
                  <c:v>2.75934481987131</c:v>
                </c:pt>
                <c:pt idx="6">
                  <c:v>2.7593311765786925</c:v>
                </c:pt>
                <c:pt idx="7">
                  <c:v>2.7588927993640437</c:v>
                </c:pt>
                <c:pt idx="8">
                  <c:v>2.756751097086092</c:v>
                </c:pt>
                <c:pt idx="9">
                  <c:v>2.7240730242128297</c:v>
                </c:pt>
                <c:pt idx="10">
                  <c:v>2.6762770800851485</c:v>
                </c:pt>
                <c:pt idx="11">
                  <c:v>2.3408221250160413</c:v>
                </c:pt>
                <c:pt idx="12">
                  <c:v>-6.8145965200673596E-5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47-465B-8284-892F415FE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981227789004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A_I'!$C$11</c:f>
          <c:strCache>
            <c:ptCount val="1"/>
            <c:pt idx="0">
              <c:v>Cornezuelo de Jaén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A_I'!$D$11:$P$11</c:f>
              <c:numCache>
                <c:formatCode>General</c:formatCode>
                <c:ptCount val="13"/>
                <c:pt idx="0">
                  <c:v>3.7423164182892825</c:v>
                </c:pt>
                <c:pt idx="1">
                  <c:v>3.7391410949816208</c:v>
                </c:pt>
                <c:pt idx="2">
                  <c:v>3.7324448352591517</c:v>
                </c:pt>
                <c:pt idx="3">
                  <c:v>3.7135357827252098</c:v>
                </c:pt>
                <c:pt idx="4">
                  <c:v>3.6612909852781361</c:v>
                </c:pt>
                <c:pt idx="5">
                  <c:v>3.5226093380122148</c:v>
                </c:pt>
                <c:pt idx="6">
                  <c:v>3.3388405419702853</c:v>
                </c:pt>
                <c:pt idx="7">
                  <c:v>3.0889473119600899</c:v>
                </c:pt>
                <c:pt idx="8">
                  <c:v>2.8582796942648163</c:v>
                </c:pt>
                <c:pt idx="9">
                  <c:v>2.1825222052565896</c:v>
                </c:pt>
                <c:pt idx="10">
                  <c:v>1.8042348328358941</c:v>
                </c:pt>
                <c:pt idx="11">
                  <c:v>0.71444551643754717</c:v>
                </c:pt>
                <c:pt idx="12">
                  <c:v>-0.76656986831693819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7F-41BE-B70A-F1C5DCEC0C25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A_I'!$D$42:$P$42</c:f>
              <c:numCache>
                <c:formatCode>General</c:formatCode>
                <c:ptCount val="13"/>
                <c:pt idx="0">
                  <c:v>1.0742978087117749</c:v>
                </c:pt>
                <c:pt idx="1">
                  <c:v>1.0742978087116257</c:v>
                </c:pt>
                <c:pt idx="2">
                  <c:v>1.0742978086931569</c:v>
                </c:pt>
                <c:pt idx="3">
                  <c:v>1.0742978063900139</c:v>
                </c:pt>
                <c:pt idx="4">
                  <c:v>1.0742975188427453</c:v>
                </c:pt>
                <c:pt idx="5">
                  <c:v>1.0742612223657202</c:v>
                </c:pt>
                <c:pt idx="6">
                  <c:v>1.0736087716359037</c:v>
                </c:pt>
                <c:pt idx="7">
                  <c:v>1.0202263091243675</c:v>
                </c:pt>
                <c:pt idx="8">
                  <c:v>1.060102960449181</c:v>
                </c:pt>
                <c:pt idx="9">
                  <c:v>0.99641331337052919</c:v>
                </c:pt>
                <c:pt idx="10">
                  <c:v>0.9265370605854808</c:v>
                </c:pt>
                <c:pt idx="11">
                  <c:v>0.5641223406646042</c:v>
                </c:pt>
                <c:pt idx="12">
                  <c:v>-0.77348768833261072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7F-41BE-B70A-F1C5DCEC0C25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A_I'!$D$73:$P$73</c:f>
              <c:numCache>
                <c:formatCode>General</c:formatCode>
                <c:ptCount val="13"/>
                <c:pt idx="0">
                  <c:v>0.30376009158557504</c:v>
                </c:pt>
                <c:pt idx="1">
                  <c:v>0.30376009158557504</c:v>
                </c:pt>
                <c:pt idx="2">
                  <c:v>0.30376009158557504</c:v>
                </c:pt>
                <c:pt idx="3">
                  <c:v>0.30376009158557504</c:v>
                </c:pt>
                <c:pt idx="4">
                  <c:v>0.30376009158557504</c:v>
                </c:pt>
                <c:pt idx="5">
                  <c:v>0.30376009158557504</c:v>
                </c:pt>
                <c:pt idx="6">
                  <c:v>0.30376009158557504</c:v>
                </c:pt>
                <c:pt idx="7">
                  <c:v>0.30376009158557504</c:v>
                </c:pt>
                <c:pt idx="8">
                  <c:v>0.30376009158557504</c:v>
                </c:pt>
                <c:pt idx="9">
                  <c:v>0.30376009158557504</c:v>
                </c:pt>
                <c:pt idx="10">
                  <c:v>0.30376009158557504</c:v>
                </c:pt>
                <c:pt idx="11">
                  <c:v>0.30376009158557504</c:v>
                </c:pt>
                <c:pt idx="12">
                  <c:v>-0.58356555163495971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7F-41BE-B70A-F1C5DCEC0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ETR'!$C$13</c:f>
          <c:strCache>
            <c:ptCount val="1"/>
            <c:pt idx="0">
              <c:v>Frantoio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ETR'!$D$13:$P$13</c:f>
              <c:numCache>
                <c:formatCode>General</c:formatCode>
                <c:ptCount val="13"/>
                <c:pt idx="0">
                  <c:v>28.647657358727045</c:v>
                </c:pt>
                <c:pt idx="1">
                  <c:v>28.647657358708859</c:v>
                </c:pt>
                <c:pt idx="2">
                  <c:v>28.647657356835019</c:v>
                </c:pt>
                <c:pt idx="3">
                  <c:v>28.647657160653431</c:v>
                </c:pt>
                <c:pt idx="4">
                  <c:v>28.64763622315461</c:v>
                </c:pt>
                <c:pt idx="5">
                  <c:v>28.645275935476757</c:v>
                </c:pt>
                <c:pt idx="6">
                  <c:v>28.604593297557919</c:v>
                </c:pt>
                <c:pt idx="7">
                  <c:v>28.338496294972586</c:v>
                </c:pt>
                <c:pt idx="8">
                  <c:v>27.809846359549191</c:v>
                </c:pt>
                <c:pt idx="9">
                  <c:v>24.943722945813096</c:v>
                </c:pt>
                <c:pt idx="10">
                  <c:v>22.666836415218583</c:v>
                </c:pt>
                <c:pt idx="11">
                  <c:v>14.179441841482578</c:v>
                </c:pt>
                <c:pt idx="12">
                  <c:v>-3.4984444570872408E-2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26-4F57-B966-930B94075F00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ETR'!$D$44:$P$44</c:f>
              <c:numCache>
                <c:formatCode>General</c:formatCode>
                <c:ptCount val="13"/>
                <c:pt idx="0">
                  <c:v>41.81940882816707</c:v>
                </c:pt>
                <c:pt idx="1">
                  <c:v>41.819408645897987</c:v>
                </c:pt>
                <c:pt idx="2">
                  <c:v>41.819404713071769</c:v>
                </c:pt>
                <c:pt idx="3">
                  <c:v>41.819313545182133</c:v>
                </c:pt>
                <c:pt idx="4">
                  <c:v>41.817100719755473</c:v>
                </c:pt>
                <c:pt idx="5">
                  <c:v>41.758645092409438</c:v>
                </c:pt>
                <c:pt idx="6">
                  <c:v>41.356482722620534</c:v>
                </c:pt>
                <c:pt idx="7">
                  <c:v>39.965300093757307</c:v>
                </c:pt>
                <c:pt idx="8">
                  <c:v>38.092482376814289</c:v>
                </c:pt>
                <c:pt idx="9">
                  <c:v>31.412645664343945</c:v>
                </c:pt>
                <c:pt idx="10">
                  <c:v>27.404742032669887</c:v>
                </c:pt>
                <c:pt idx="11">
                  <c:v>15.652711133250031</c:v>
                </c:pt>
                <c:pt idx="12">
                  <c:v>-0.31464281583730452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26-4F57-B966-930B94075F00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ETR'!$D$75:$P$75</c:f>
              <c:numCache>
                <c:formatCode>General</c:formatCode>
                <c:ptCount val="13"/>
                <c:pt idx="0">
                  <c:v>31.911882109376513</c:v>
                </c:pt>
                <c:pt idx="1">
                  <c:v>31.911881945725074</c:v>
                </c:pt>
                <c:pt idx="2">
                  <c:v>31.911878603545809</c:v>
                </c:pt>
                <c:pt idx="3">
                  <c:v>31.911807071934788</c:v>
                </c:pt>
                <c:pt idx="4">
                  <c:v>31.910266599857827</c:v>
                </c:pt>
                <c:pt idx="5">
                  <c:v>31.875968286913551</c:v>
                </c:pt>
                <c:pt idx="6">
                  <c:v>31.667002657686577</c:v>
                </c:pt>
                <c:pt idx="7">
                  <c:v>30.974220229408047</c:v>
                </c:pt>
                <c:pt idx="8">
                  <c:v>30.018873725850415</c:v>
                </c:pt>
                <c:pt idx="9">
                  <c:v>26.216459283117</c:v>
                </c:pt>
                <c:pt idx="10">
                  <c:v>23.615357961929323</c:v>
                </c:pt>
                <c:pt idx="11">
                  <c:v>14.613113287351217</c:v>
                </c:pt>
                <c:pt idx="12">
                  <c:v>-0.1220678010571199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26-4F57-B966-930B9407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ETR'!$C$14</c:f>
          <c:strCache>
            <c:ptCount val="1"/>
            <c:pt idx="0">
              <c:v>Hojiblanca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ETR'!$D$14:$P$14</c:f>
              <c:numCache>
                <c:formatCode>General</c:formatCode>
                <c:ptCount val="13"/>
                <c:pt idx="0">
                  <c:v>85.935892352112816</c:v>
                </c:pt>
                <c:pt idx="1">
                  <c:v>85.932451749380405</c:v>
                </c:pt>
                <c:pt idx="2">
                  <c:v>85.915262006916237</c:v>
                </c:pt>
                <c:pt idx="3">
                  <c:v>85.813857628911293</c:v>
                </c:pt>
                <c:pt idx="4">
                  <c:v>85.210939234829127</c:v>
                </c:pt>
                <c:pt idx="5">
                  <c:v>81.645493724634008</c:v>
                </c:pt>
                <c:pt idx="6">
                  <c:v>73.789426717668547</c:v>
                </c:pt>
                <c:pt idx="7">
                  <c:v>62.483935369446741</c:v>
                </c:pt>
                <c:pt idx="8">
                  <c:v>53.994618936702878</c:v>
                </c:pt>
                <c:pt idx="9">
                  <c:v>37.04134518502957</c:v>
                </c:pt>
                <c:pt idx="10">
                  <c:v>30.289532197102591</c:v>
                </c:pt>
                <c:pt idx="11">
                  <c:v>15.459197753813527</c:v>
                </c:pt>
                <c:pt idx="12">
                  <c:v>-0.43600831915094551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DB-444B-98F4-1D168B413A41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ETR'!$D$45:$P$45</c:f>
              <c:numCache>
                <c:formatCode>General</c:formatCode>
                <c:ptCount val="13"/>
                <c:pt idx="0">
                  <c:v>39.842818386027787</c:v>
                </c:pt>
                <c:pt idx="1">
                  <c:v>39.842818350247306</c:v>
                </c:pt>
                <c:pt idx="2">
                  <c:v>39.842817254113058</c:v>
                </c:pt>
                <c:pt idx="3">
                  <c:v>39.842782519169091</c:v>
                </c:pt>
                <c:pt idx="4">
                  <c:v>39.841670462145018</c:v>
                </c:pt>
                <c:pt idx="5">
                  <c:v>39.804649737810571</c:v>
                </c:pt>
                <c:pt idx="6">
                  <c:v>39.514480152343197</c:v>
                </c:pt>
                <c:pt idx="7">
                  <c:v>38.417927281203298</c:v>
                </c:pt>
                <c:pt idx="8">
                  <c:v>36.854432456814664</c:v>
                </c:pt>
                <c:pt idx="9">
                  <c:v>30.899643734793443</c:v>
                </c:pt>
                <c:pt idx="10">
                  <c:v>27.148656846928123</c:v>
                </c:pt>
                <c:pt idx="11">
                  <c:v>15.678417934979104</c:v>
                </c:pt>
                <c:pt idx="12">
                  <c:v>-0.4944106539386624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DB-444B-98F4-1D168B413A41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ETR'!$D$76:$P$76</c:f>
              <c:numCache>
                <c:formatCode>General</c:formatCode>
                <c:ptCount val="13"/>
                <c:pt idx="0">
                  <c:v>25.645308598260499</c:v>
                </c:pt>
                <c:pt idx="1">
                  <c:v>25.645308598240092</c:v>
                </c:pt>
                <c:pt idx="2">
                  <c:v>25.645308596117879</c:v>
                </c:pt>
                <c:pt idx="3">
                  <c:v>25.645308368804638</c:v>
                </c:pt>
                <c:pt idx="4">
                  <c:v>25.645283390017951</c:v>
                </c:pt>
                <c:pt idx="5">
                  <c:v>25.642439992817195</c:v>
                </c:pt>
                <c:pt idx="6">
                  <c:v>25.594907919086527</c:v>
                </c:pt>
                <c:pt idx="7">
                  <c:v>25.300030108567793</c:v>
                </c:pt>
                <c:pt idx="8">
                  <c:v>24.741358966621323</c:v>
                </c:pt>
                <c:pt idx="9">
                  <c:v>21.912504302129321</c:v>
                </c:pt>
                <c:pt idx="10">
                  <c:v>19.777536338637361</c:v>
                </c:pt>
                <c:pt idx="11">
                  <c:v>12.200296047478874</c:v>
                </c:pt>
                <c:pt idx="12">
                  <c:v>2.5722717717350685E-2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DB-444B-98F4-1D168B41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ETR'!$C$15</c:f>
          <c:strCache>
            <c:ptCount val="1"/>
            <c:pt idx="0">
              <c:v>Koroneiki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ETR'!$D$15:$P$15</c:f>
              <c:numCache>
                <c:formatCode>General</c:formatCode>
                <c:ptCount val="13"/>
                <c:pt idx="0">
                  <c:v>35.596089992166903</c:v>
                </c:pt>
                <c:pt idx="1">
                  <c:v>35.596089710909759</c:v>
                </c:pt>
                <c:pt idx="2">
                  <c:v>35.596084000933374</c:v>
                </c:pt>
                <c:pt idx="3">
                  <c:v>35.595959979846242</c:v>
                </c:pt>
                <c:pt idx="4">
                  <c:v>35.593180459149949</c:v>
                </c:pt>
                <c:pt idx="5">
                  <c:v>35.52755790067166</c:v>
                </c:pt>
                <c:pt idx="6">
                  <c:v>35.120055220855015</c:v>
                </c:pt>
                <c:pt idx="7">
                  <c:v>33.82294553784228</c:v>
                </c:pt>
                <c:pt idx="8">
                  <c:v>32.163291000554949</c:v>
                </c:pt>
                <c:pt idx="9">
                  <c:v>26.489170013380544</c:v>
                </c:pt>
                <c:pt idx="10">
                  <c:v>23.150844078608856</c:v>
                </c:pt>
                <c:pt idx="11">
                  <c:v>13.417631746697717</c:v>
                </c:pt>
                <c:pt idx="12">
                  <c:v>0.17966897381376001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4E-4FDC-99BE-7CE743DF716F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ETR'!$D$46:$P$46</c:f>
              <c:numCache>
                <c:formatCode>General</c:formatCode>
                <c:ptCount val="13"/>
                <c:pt idx="0">
                  <c:v>46.600866238587948</c:v>
                </c:pt>
                <c:pt idx="1">
                  <c:v>46.600866031785863</c:v>
                </c:pt>
                <c:pt idx="2">
                  <c:v>46.600861013024634</c:v>
                </c:pt>
                <c:pt idx="3">
                  <c:v>46.600732781997884</c:v>
                </c:pt>
                <c:pt idx="4">
                  <c:v>46.59737509065846</c:v>
                </c:pt>
                <c:pt idx="5">
                  <c:v>46.50541668723536</c:v>
                </c:pt>
                <c:pt idx="6">
                  <c:v>45.886465470017548</c:v>
                </c:pt>
                <c:pt idx="7">
                  <c:v>43.864705367786918</c:v>
                </c:pt>
                <c:pt idx="8">
                  <c:v>41.303969056630969</c:v>
                </c:pt>
                <c:pt idx="9">
                  <c:v>32.970345659882966</c:v>
                </c:pt>
                <c:pt idx="10">
                  <c:v>28.349494440627197</c:v>
                </c:pt>
                <c:pt idx="11">
                  <c:v>15.745031874052904</c:v>
                </c:pt>
                <c:pt idx="12">
                  <c:v>-0.28186245114124631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4E-4FDC-99BE-7CE743DF716F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ETR'!$D$77:$P$77</c:f>
              <c:numCache>
                <c:formatCode>General</c:formatCode>
                <c:ptCount val="13"/>
                <c:pt idx="0">
                  <c:v>18.912212843606763</c:v>
                </c:pt>
                <c:pt idx="1">
                  <c:v>18.912212843606763</c:v>
                </c:pt>
                <c:pt idx="2">
                  <c:v>18.912212843606678</c:v>
                </c:pt>
                <c:pt idx="3">
                  <c:v>18.912212843547987</c:v>
                </c:pt>
                <c:pt idx="4">
                  <c:v>18.912212802162355</c:v>
                </c:pt>
                <c:pt idx="5">
                  <c:v>18.91218273827705</c:v>
                </c:pt>
                <c:pt idx="6">
                  <c:v>18.910579417464181</c:v>
                </c:pt>
                <c:pt idx="7">
                  <c:v>18.887857682649969</c:v>
                </c:pt>
                <c:pt idx="8">
                  <c:v>18.816309905339789</c:v>
                </c:pt>
                <c:pt idx="9">
                  <c:v>18.14238005012847</c:v>
                </c:pt>
                <c:pt idx="10">
                  <c:v>17.368163146929351</c:v>
                </c:pt>
                <c:pt idx="11">
                  <c:v>12.909659359389847</c:v>
                </c:pt>
                <c:pt idx="12">
                  <c:v>-6.7422051228211113E-2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4E-4FDC-99BE-7CE743DF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2197664947054034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ETR'!$C$16</c:f>
          <c:strCache>
            <c:ptCount val="1"/>
            <c:pt idx="0">
              <c:v>Martina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ETR'!$D$16:$P$16</c:f>
              <c:numCache>
                <c:formatCode>General</c:formatCode>
                <c:ptCount val="13"/>
                <c:pt idx="0">
                  <c:v>51.87649790865904</c:v>
                </c:pt>
                <c:pt idx="1">
                  <c:v>51.87649780507715</c:v>
                </c:pt>
                <c:pt idx="2">
                  <c:v>51.876494760907185</c:v>
                </c:pt>
                <c:pt idx="3">
                  <c:v>51.87640102977317</c:v>
                </c:pt>
                <c:pt idx="4">
                  <c:v>51.873465547663294</c:v>
                </c:pt>
                <c:pt idx="5">
                  <c:v>51.779740588833107</c:v>
                </c:pt>
                <c:pt idx="6">
                  <c:v>51.100061347246481</c:v>
                </c:pt>
                <c:pt idx="7">
                  <c:v>48.804789233440374</c:v>
                </c:pt>
                <c:pt idx="8">
                  <c:v>45.866283889852845</c:v>
                </c:pt>
                <c:pt idx="9">
                  <c:v>36.304201191614531</c:v>
                </c:pt>
                <c:pt idx="10">
                  <c:v>31.034032219360853</c:v>
                </c:pt>
                <c:pt idx="11">
                  <c:v>16.782402427558516</c:v>
                </c:pt>
                <c:pt idx="12">
                  <c:v>-1.1741912781612334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B1-4C0D-B787-671F073C6915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ETR'!$D$47:$P$47</c:f>
              <c:numCache>
                <c:formatCode>General</c:formatCode>
                <c:ptCount val="13"/>
                <c:pt idx="0">
                  <c:v>41.381915205241803</c:v>
                </c:pt>
                <c:pt idx="1">
                  <c:v>41.381914754518249</c:v>
                </c:pt>
                <c:pt idx="2">
                  <c:v>41.381905706848592</c:v>
                </c:pt>
                <c:pt idx="3">
                  <c:v>41.381711071096376</c:v>
                </c:pt>
                <c:pt idx="4">
                  <c:v>41.377403985350263</c:v>
                </c:pt>
                <c:pt idx="5">
                  <c:v>41.278535296957209</c:v>
                </c:pt>
                <c:pt idx="6">
                  <c:v>40.692213006497859</c:v>
                </c:pt>
                <c:pt idx="7">
                  <c:v>38.937721903487258</c:v>
                </c:pt>
                <c:pt idx="8">
                  <c:v>36.812495996992126</c:v>
                </c:pt>
                <c:pt idx="9">
                  <c:v>30.000459353794646</c:v>
                </c:pt>
                <c:pt idx="10">
                  <c:v>26.146642543160155</c:v>
                </c:pt>
                <c:pt idx="11">
                  <c:v>15.051219507739626</c:v>
                </c:pt>
                <c:pt idx="12">
                  <c:v>-0.17359132794473714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B1-4C0D-B787-671F073C6915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ETR'!$D$78:$P$78</c:f>
              <c:numCache>
                <c:formatCode>General</c:formatCode>
                <c:ptCount val="13"/>
                <c:pt idx="0">
                  <c:v>28.689626602869126</c:v>
                </c:pt>
                <c:pt idx="1">
                  <c:v>28.689626601128722</c:v>
                </c:pt>
                <c:pt idx="2">
                  <c:v>28.689626523941531</c:v>
                </c:pt>
                <c:pt idx="3">
                  <c:v>28.68962295778244</c:v>
                </c:pt>
                <c:pt idx="4">
                  <c:v>28.689452716254557</c:v>
                </c:pt>
                <c:pt idx="5">
                  <c:v>28.680761787900103</c:v>
                </c:pt>
                <c:pt idx="6">
                  <c:v>28.589346868455191</c:v>
                </c:pt>
                <c:pt idx="7">
                  <c:v>28.159570097398699</c:v>
                </c:pt>
                <c:pt idx="8">
                  <c:v>27.451480820449582</c:v>
                </c:pt>
                <c:pt idx="9">
                  <c:v>24.239808214909001</c:v>
                </c:pt>
                <c:pt idx="10">
                  <c:v>21.919686378779332</c:v>
                </c:pt>
                <c:pt idx="11">
                  <c:v>13.694796874714392</c:v>
                </c:pt>
                <c:pt idx="12">
                  <c:v>4.5557038758806366E-3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B1-4C0D-B787-671F073C6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164594080912300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ETR'!$C$17</c:f>
          <c:strCache>
            <c:ptCount val="1"/>
            <c:pt idx="0">
              <c:v>Manzanilla de Sevilla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ETR'!$D$17:$P$17</c:f>
              <c:numCache>
                <c:formatCode>General</c:formatCode>
                <c:ptCount val="13"/>
                <c:pt idx="0">
                  <c:v>26.1252886923983</c:v>
                </c:pt>
                <c:pt idx="1">
                  <c:v>26.125288692392985</c:v>
                </c:pt>
                <c:pt idx="2">
                  <c:v>26.125288691663989</c:v>
                </c:pt>
                <c:pt idx="3">
                  <c:v>26.125288589587573</c:v>
                </c:pt>
                <c:pt idx="4">
                  <c:v>26.125274028474124</c:v>
                </c:pt>
                <c:pt idx="5">
                  <c:v>26.123141055444783</c:v>
                </c:pt>
                <c:pt idx="6">
                  <c:v>26.081777231532026</c:v>
                </c:pt>
                <c:pt idx="7">
                  <c:v>25.800582778464999</c:v>
                </c:pt>
                <c:pt idx="8">
                  <c:v>25.242755761681934</c:v>
                </c:pt>
                <c:pt idx="9">
                  <c:v>22.318195724577095</c:v>
                </c:pt>
                <c:pt idx="10">
                  <c:v>20.087572280830138</c:v>
                </c:pt>
                <c:pt idx="11">
                  <c:v>12.232257136009752</c:v>
                </c:pt>
                <c:pt idx="12">
                  <c:v>-0.11325528803392153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51-4C2B-8C27-C1A8318159A6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ETR'!$D$48:$P$48</c:f>
              <c:numCache>
                <c:formatCode>General</c:formatCode>
                <c:ptCount val="13"/>
                <c:pt idx="0">
                  <c:v>40.3067091217262</c:v>
                </c:pt>
                <c:pt idx="1">
                  <c:v>40.306709026894211</c:v>
                </c:pt>
                <c:pt idx="2">
                  <c:v>40.306706795610602</c:v>
                </c:pt>
                <c:pt idx="3">
                  <c:v>40.30665020880366</c:v>
                </c:pt>
                <c:pt idx="4">
                  <c:v>40.305122267176998</c:v>
                </c:pt>
                <c:pt idx="5">
                  <c:v>40.258957858704491</c:v>
                </c:pt>
                <c:pt idx="6">
                  <c:v>39.908482650348454</c:v>
                </c:pt>
                <c:pt idx="7">
                  <c:v>38.617833871659677</c:v>
                </c:pt>
                <c:pt idx="8">
                  <c:v>36.827374435259337</c:v>
                </c:pt>
                <c:pt idx="9">
                  <c:v>30.332191884047209</c:v>
                </c:pt>
                <c:pt idx="10">
                  <c:v>26.426319631509124</c:v>
                </c:pt>
                <c:pt idx="11">
                  <c:v>15.046383701239979</c:v>
                </c:pt>
                <c:pt idx="12">
                  <c:v>-0.26252420390609882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51-4C2B-8C27-C1A8318159A6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ETR'!$D$79:$P$79</c:f>
              <c:numCache>
                <c:formatCode>General</c:formatCode>
                <c:ptCount val="13"/>
                <c:pt idx="0">
                  <c:v>25.077005425213866</c:v>
                </c:pt>
                <c:pt idx="1">
                  <c:v>25.077005425202447</c:v>
                </c:pt>
                <c:pt idx="2">
                  <c:v>25.077005424003808</c:v>
                </c:pt>
                <c:pt idx="3">
                  <c:v>25.077005295015173</c:v>
                </c:pt>
                <c:pt idx="4">
                  <c:v>25.076991068931914</c:v>
                </c:pt>
                <c:pt idx="5">
                  <c:v>25.075352656526174</c:v>
                </c:pt>
                <c:pt idx="6">
                  <c:v>25.047345163403143</c:v>
                </c:pt>
                <c:pt idx="7">
                  <c:v>24.867106725132011</c:v>
                </c:pt>
                <c:pt idx="8">
                  <c:v>24.510665940245502</c:v>
                </c:pt>
                <c:pt idx="9">
                  <c:v>22.524772107019555</c:v>
                </c:pt>
                <c:pt idx="10">
                  <c:v>20.860544626336509</c:v>
                </c:pt>
                <c:pt idx="11">
                  <c:v>13.891780833136664</c:v>
                </c:pt>
                <c:pt idx="12">
                  <c:v>-5.4651204315109683E-2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151-4C2B-8C27-C1A83181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025251153950581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ETR'!$C$18</c:f>
          <c:strCache>
            <c:ptCount val="1"/>
            <c:pt idx="0">
              <c:v>Picual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ETR'!$D$18:$P$18</c:f>
              <c:numCache>
                <c:formatCode>General</c:formatCode>
                <c:ptCount val="13"/>
                <c:pt idx="0">
                  <c:v>82.159475859219853</c:v>
                </c:pt>
                <c:pt idx="1">
                  <c:v>82.156818959011659</c:v>
                </c:pt>
                <c:pt idx="2">
                  <c:v>82.14373898964358</c:v>
                </c:pt>
                <c:pt idx="3">
                  <c:v>82.06681916750091</c:v>
                </c:pt>
                <c:pt idx="4">
                  <c:v>81.604773191031654</c:v>
                </c:pt>
                <c:pt idx="5">
                  <c:v>78.778719496573032</c:v>
                </c:pt>
                <c:pt idx="6">
                  <c:v>72.231254737342368</c:v>
                </c:pt>
                <c:pt idx="7">
                  <c:v>62.262161613896183</c:v>
                </c:pt>
                <c:pt idx="8">
                  <c:v>54.422799161964889</c:v>
                </c:pt>
                <c:pt idx="9">
                  <c:v>37.999030848618013</c:v>
                </c:pt>
                <c:pt idx="10">
                  <c:v>31.217458210650264</c:v>
                </c:pt>
                <c:pt idx="11">
                  <c:v>15.967235751371559</c:v>
                </c:pt>
                <c:pt idx="12">
                  <c:v>-0.69139964899659445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49-42D6-A0C0-2389BBE85B81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ETR'!$D$49:$P$49</c:f>
              <c:numCache>
                <c:formatCode>General</c:formatCode>
                <c:ptCount val="13"/>
                <c:pt idx="0">
                  <c:v>46.732982171358444</c:v>
                </c:pt>
                <c:pt idx="1">
                  <c:v>46.732863714029904</c:v>
                </c:pt>
                <c:pt idx="2">
                  <c:v>46.731935245268545</c:v>
                </c:pt>
                <c:pt idx="3">
                  <c:v>46.723657565374069</c:v>
                </c:pt>
                <c:pt idx="4">
                  <c:v>46.64806554574637</c:v>
                </c:pt>
                <c:pt idx="5">
                  <c:v>45.941909537190142</c:v>
                </c:pt>
                <c:pt idx="6">
                  <c:v>43.730092129854782</c:v>
                </c:pt>
                <c:pt idx="7">
                  <c:v>39.614176662459784</c:v>
                </c:pt>
                <c:pt idx="8">
                  <c:v>35.976407831472812</c:v>
                </c:pt>
                <c:pt idx="9">
                  <c:v>27.483825594765484</c:v>
                </c:pt>
                <c:pt idx="10">
                  <c:v>23.602156762598007</c:v>
                </c:pt>
                <c:pt idx="11">
                  <c:v>13.584112299012054</c:v>
                </c:pt>
                <c:pt idx="12">
                  <c:v>2.022622626839843E-3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49-42D6-A0C0-2389BBE85B81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ETR'!$D$80:$P$80</c:f>
              <c:numCache>
                <c:formatCode>General</c:formatCode>
                <c:ptCount val="13"/>
                <c:pt idx="0">
                  <c:v>12.376841184226222</c:v>
                </c:pt>
                <c:pt idx="1">
                  <c:v>12.376841179079586</c:v>
                </c:pt>
                <c:pt idx="2">
                  <c:v>12.37684104511308</c:v>
                </c:pt>
                <c:pt idx="3">
                  <c:v>12.376837428796328</c:v>
                </c:pt>
                <c:pt idx="4">
                  <c:v>12.376739809105539</c:v>
                </c:pt>
                <c:pt idx="5">
                  <c:v>12.374102340657616</c:v>
                </c:pt>
                <c:pt idx="6">
                  <c:v>12.356767295667446</c:v>
                </c:pt>
                <c:pt idx="7">
                  <c:v>12.295451140151989</c:v>
                </c:pt>
                <c:pt idx="8">
                  <c:v>12.197060678104053</c:v>
                </c:pt>
                <c:pt idx="9">
                  <c:v>11.598211715998593</c:v>
                </c:pt>
                <c:pt idx="10">
                  <c:v>10.990418432739787</c:v>
                </c:pt>
                <c:pt idx="11">
                  <c:v>7.7738617071812968</c:v>
                </c:pt>
                <c:pt idx="12">
                  <c:v>0.11476932343377726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49-42D6-A0C0-2389BBE85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ETR'!$C$19</c:f>
          <c:strCache>
            <c:ptCount val="1"/>
            <c:pt idx="0">
              <c:v>Sikitita 1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ETR'!$D$19:$P$19</c:f>
              <c:numCache>
                <c:formatCode>General</c:formatCode>
                <c:ptCount val="13"/>
                <c:pt idx="0">
                  <c:v>60.741157180815193</c:v>
                </c:pt>
                <c:pt idx="1">
                  <c:v>60.741130060681634</c:v>
                </c:pt>
                <c:pt idx="2">
                  <c:v>60.740841202875629</c:v>
                </c:pt>
                <c:pt idx="3">
                  <c:v>60.737437275816831</c:v>
                </c:pt>
                <c:pt idx="4">
                  <c:v>60.696305317942432</c:v>
                </c:pt>
                <c:pt idx="5">
                  <c:v>60.181004426235461</c:v>
                </c:pt>
                <c:pt idx="6">
                  <c:v>58.151231595502892</c:v>
                </c:pt>
                <c:pt idx="7">
                  <c:v>53.600063445408914</c:v>
                </c:pt>
                <c:pt idx="8">
                  <c:v>49.017263534591144</c:v>
                </c:pt>
                <c:pt idx="9">
                  <c:v>36.941763841639656</c:v>
                </c:pt>
                <c:pt idx="10">
                  <c:v>31.088466578207786</c:v>
                </c:pt>
                <c:pt idx="11">
                  <c:v>16.449122389222122</c:v>
                </c:pt>
                <c:pt idx="12">
                  <c:v>-0.97869204692048806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30-4305-96DB-A679A2500D28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ETR'!$D$50:$P$50</c:f>
              <c:numCache>
                <c:formatCode>General</c:formatCode>
                <c:ptCount val="13"/>
                <c:pt idx="0">
                  <c:v>45.08671676768131</c:v>
                </c:pt>
                <c:pt idx="1">
                  <c:v>45.086712504362374</c:v>
                </c:pt>
                <c:pt idx="2">
                  <c:v>45.086661471610675</c:v>
                </c:pt>
                <c:pt idx="3">
                  <c:v>45.085993656864161</c:v>
                </c:pt>
                <c:pt idx="4">
                  <c:v>45.07688546513868</c:v>
                </c:pt>
                <c:pt idx="5">
                  <c:v>44.938266098924416</c:v>
                </c:pt>
                <c:pt idx="6">
                  <c:v>44.252933840805035</c:v>
                </c:pt>
                <c:pt idx="7">
                  <c:v>42.31392883355678</c:v>
                </c:pt>
                <c:pt idx="8">
                  <c:v>39.973925799647283</c:v>
                </c:pt>
                <c:pt idx="9">
                  <c:v>32.379874439227422</c:v>
                </c:pt>
                <c:pt idx="10">
                  <c:v>28.064022329201418</c:v>
                </c:pt>
                <c:pt idx="11">
                  <c:v>15.797419032536734</c:v>
                </c:pt>
                <c:pt idx="12">
                  <c:v>-0.5703022687028293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30-4305-96DB-A679A2500D28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ETR'!$D$81:$P$81</c:f>
              <c:numCache>
                <c:formatCode>General</c:formatCode>
                <c:ptCount val="13"/>
                <c:pt idx="0">
                  <c:v>24.668993594236351</c:v>
                </c:pt>
                <c:pt idx="1">
                  <c:v>24.668993594218176</c:v>
                </c:pt>
                <c:pt idx="2">
                  <c:v>24.668993592462801</c:v>
                </c:pt>
                <c:pt idx="3">
                  <c:v>24.668993418326135</c:v>
                </c:pt>
                <c:pt idx="4">
                  <c:v>24.668975695264855</c:v>
                </c:pt>
                <c:pt idx="5">
                  <c:v>24.667086208952991</c:v>
                </c:pt>
                <c:pt idx="6">
                  <c:v>24.636156017235951</c:v>
                </c:pt>
                <c:pt idx="7">
                  <c:v>24.442251633479561</c:v>
                </c:pt>
                <c:pt idx="8">
                  <c:v>24.065012260097035</c:v>
                </c:pt>
                <c:pt idx="9">
                  <c:v>22.020822327808638</c:v>
                </c:pt>
                <c:pt idx="10">
                  <c:v>20.357224915828034</c:v>
                </c:pt>
                <c:pt idx="11">
                  <c:v>13.691893542598933</c:v>
                </c:pt>
                <c:pt idx="12">
                  <c:v>-0.17565022106523914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30-4305-96DB-A679A250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247352701601955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ETR'!$C$20</c:f>
          <c:strCache>
            <c:ptCount val="1"/>
            <c:pt idx="0">
              <c:v>Sikitita 2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ETR'!$D$20:$P$20</c:f>
              <c:numCache>
                <c:formatCode>General</c:formatCode>
                <c:ptCount val="13"/>
                <c:pt idx="0">
                  <c:v>82.115925435261119</c:v>
                </c:pt>
                <c:pt idx="1">
                  <c:v>82.114764115930072</c:v>
                </c:pt>
                <c:pt idx="2">
                  <c:v>82.107895579610116</c:v>
                </c:pt>
                <c:pt idx="3">
                  <c:v>82.060533956176258</c:v>
                </c:pt>
                <c:pt idx="4">
                  <c:v>81.727583001365403</c:v>
                </c:pt>
                <c:pt idx="5">
                  <c:v>79.353703462200315</c:v>
                </c:pt>
                <c:pt idx="6">
                  <c:v>73.266201483560621</c:v>
                </c:pt>
                <c:pt idx="7">
                  <c:v>63.453716300360121</c:v>
                </c:pt>
                <c:pt idx="8">
                  <c:v>55.541487760392364</c:v>
                </c:pt>
                <c:pt idx="9">
                  <c:v>38.763944890355127</c:v>
                </c:pt>
                <c:pt idx="10">
                  <c:v>31.812575849923558</c:v>
                </c:pt>
                <c:pt idx="11">
                  <c:v>16.1882033636134</c:v>
                </c:pt>
                <c:pt idx="12">
                  <c:v>-0.85451410109306913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D2-422D-8EFE-3848991F48D2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ETR'!$D$51:$P$51</c:f>
              <c:numCache>
                <c:formatCode>General</c:formatCode>
                <c:ptCount val="13"/>
                <c:pt idx="0">
                  <c:v>27.257423417330575</c:v>
                </c:pt>
                <c:pt idx="1">
                  <c:v>27.257423417329839</c:v>
                </c:pt>
                <c:pt idx="2">
                  <c:v>27.257423417198645</c:v>
                </c:pt>
                <c:pt idx="3">
                  <c:v>27.257423392908787</c:v>
                </c:pt>
                <c:pt idx="4">
                  <c:v>27.257418732623741</c:v>
                </c:pt>
                <c:pt idx="5">
                  <c:v>27.256476997753701</c:v>
                </c:pt>
                <c:pt idx="6">
                  <c:v>27.23371608938325</c:v>
                </c:pt>
                <c:pt idx="7">
                  <c:v>27.050610174053922</c:v>
                </c:pt>
                <c:pt idx="8">
                  <c:v>26.644810108197049</c:v>
                </c:pt>
                <c:pt idx="9">
                  <c:v>24.197528498632092</c:v>
                </c:pt>
                <c:pt idx="10">
                  <c:v>22.130495363986686</c:v>
                </c:pt>
                <c:pt idx="11">
                  <c:v>14.020831401001439</c:v>
                </c:pt>
                <c:pt idx="12">
                  <c:v>-0.17939173610306186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D2-422D-8EFE-3848991F48D2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ETR'!$D$82:$P$82</c:f>
              <c:numCache>
                <c:formatCode>General</c:formatCode>
                <c:ptCount val="13"/>
                <c:pt idx="0">
                  <c:v>29.058475863715383</c:v>
                </c:pt>
                <c:pt idx="1">
                  <c:v>29.058475863689218</c:v>
                </c:pt>
                <c:pt idx="2">
                  <c:v>29.058475861402229</c:v>
                </c:pt>
                <c:pt idx="3">
                  <c:v>29.058475654552755</c:v>
                </c:pt>
                <c:pt idx="4">
                  <c:v>29.058455904412291</c:v>
                </c:pt>
                <c:pt idx="5">
                  <c:v>29.056327191969949</c:v>
                </c:pt>
                <c:pt idx="6">
                  <c:v>29.019059331739914</c:v>
                </c:pt>
                <c:pt idx="7">
                  <c:v>28.768626733745471</c:v>
                </c:pt>
                <c:pt idx="8">
                  <c:v>28.261198682560813</c:v>
                </c:pt>
                <c:pt idx="9">
                  <c:v>25.443969957166139</c:v>
                </c:pt>
                <c:pt idx="10">
                  <c:v>23.168692710072719</c:v>
                </c:pt>
                <c:pt idx="11">
                  <c:v>14.534263292098244</c:v>
                </c:pt>
                <c:pt idx="12">
                  <c:v>-0.22757805120908756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D2-422D-8EFE-3848991F4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ETR'!$BD$3</c:f>
          <c:strCache>
            <c:ptCount val="1"/>
            <c:pt idx="0">
              <c:v>Arbequina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ETR'!$BE$3:$BQ$3</c:f>
              <c:numCache>
                <c:formatCode>General</c:formatCode>
                <c:ptCount val="13"/>
                <c:pt idx="0">
                  <c:v>43.572015227672736</c:v>
                </c:pt>
                <c:pt idx="1">
                  <c:v>54.050554711443603</c:v>
                </c:pt>
                <c:pt idx="2">
                  <c:v>61.774244544430417</c:v>
                </c:pt>
                <c:pt idx="3">
                  <c:v>67.880668558219909</c:v>
                </c:pt>
                <c:pt idx="4">
                  <c:v>70.865651736940848</c:v>
                </c:pt>
                <c:pt idx="5">
                  <c:v>67.832677420166561</c:v>
                </c:pt>
                <c:pt idx="6">
                  <c:v>61.245733237133287</c:v>
                </c:pt>
                <c:pt idx="7">
                  <c:v>#N/A</c:v>
                </c:pt>
                <c:pt idx="8">
                  <c:v>47.114246728055733</c:v>
                </c:pt>
                <c:pt idx="9">
                  <c:v>#N/A</c:v>
                </c:pt>
                <c:pt idx="10">
                  <c:v>28.315675799007305</c:v>
                </c:pt>
                <c:pt idx="11">
                  <c:v>14.907661426134414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4B-4208-A4DA-FDCAEC927DC3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ETR'!$BE$34:$BQ$34</c:f>
              <c:numCache>
                <c:formatCode>General</c:formatCode>
                <c:ptCount val="13"/>
                <c:pt idx="0">
                  <c:v>30.281716779149971</c:v>
                </c:pt>
                <c:pt idx="1">
                  <c:v>39.447857860213404</c:v>
                </c:pt>
                <c:pt idx="2">
                  <c:v>43.468136475711269</c:v>
                </c:pt>
                <c:pt idx="3">
                  <c:v>46.743608564674659</c:v>
                </c:pt>
                <c:pt idx="4">
                  <c:v>49.149759922486218</c:v>
                </c:pt>
                <c:pt idx="5">
                  <c:v>50.505389938221796</c:v>
                </c:pt>
                <c:pt idx="6">
                  <c:v>#N/A</c:v>
                </c:pt>
                <c:pt idx="7">
                  <c:v>47.727396352745487</c:v>
                </c:pt>
                <c:pt idx="8">
                  <c:v>#N/A</c:v>
                </c:pt>
                <c:pt idx="9">
                  <c:v>33.66700864055381</c:v>
                </c:pt>
                <c:pt idx="10">
                  <c:v>#N/A</c:v>
                </c:pt>
                <c:pt idx="11">
                  <c:v>14.947475723978313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4B-4208-A4DA-FDCAEC927DC3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ETR'!$BE$65:$BQ$65</c:f>
              <c:numCache>
                <c:formatCode>General</c:formatCode>
                <c:ptCount val="13"/>
                <c:pt idx="0">
                  <c:v>11.540996402511734</c:v>
                </c:pt>
                <c:pt idx="1">
                  <c:v>16.30910093927374</c:v>
                </c:pt>
                <c:pt idx="2">
                  <c:v>18.190379297012324</c:v>
                </c:pt>
                <c:pt idx="3">
                  <c:v>20.261174922983766</c:v>
                </c:pt>
                <c:pt idx="4">
                  <c:v>21.969407555178329</c:v>
                </c:pt>
                <c:pt idx="5">
                  <c:v>23.654571673054811</c:v>
                </c:pt>
                <c:pt idx="6">
                  <c:v>#N/A</c:v>
                </c:pt>
                <c:pt idx="7">
                  <c:v>23.348053565843049</c:v>
                </c:pt>
                <c:pt idx="8">
                  <c:v>#N/A</c:v>
                </c:pt>
                <c:pt idx="9">
                  <c:v>21.034123423559226</c:v>
                </c:pt>
                <c:pt idx="10">
                  <c:v>#N/A</c:v>
                </c:pt>
                <c:pt idx="11">
                  <c:v>12.410457812309291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4B-4208-A4DA-FDCAEC927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ETR'!$BD$4</c:f>
          <c:strCache>
            <c:ptCount val="1"/>
            <c:pt idx="0">
              <c:v>Arbosana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ETR'!$BE$4:$BQ$4</c:f>
              <c:numCache>
                <c:formatCode>General</c:formatCode>
                <c:ptCount val="13"/>
                <c:pt idx="0">
                  <c:v>26.275294694447354</c:v>
                </c:pt>
                <c:pt idx="1">
                  <c:v>39.521786376058266</c:v>
                </c:pt>
                <c:pt idx="2">
                  <c:v>46.771119746150234</c:v>
                </c:pt>
                <c:pt idx="3">
                  <c:v>51.14308557397748</c:v>
                </c:pt>
                <c:pt idx="4">
                  <c:v>53.493391619403837</c:v>
                </c:pt>
                <c:pt idx="5">
                  <c:v>53.403404884806143</c:v>
                </c:pt>
                <c:pt idx="6">
                  <c:v>50.692132105116009</c:v>
                </c:pt>
                <c:pt idx="7">
                  <c:v>#N/A</c:v>
                </c:pt>
                <c:pt idx="8">
                  <c:v>42.280686367768475</c:v>
                </c:pt>
                <c:pt idx="9">
                  <c:v>#N/A</c:v>
                </c:pt>
                <c:pt idx="10">
                  <c:v>27.717289071994266</c:v>
                </c:pt>
                <c:pt idx="11">
                  <c:v>15.173968813632117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EF-44BC-8829-9E7A48DCD41B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ETR'!$BE$35:$BQ$35</c:f>
              <c:numCache>
                <c:formatCode>General</c:formatCode>
                <c:ptCount val="13"/>
                <c:pt idx="0">
                  <c:v>14.285781490423503</c:v>
                </c:pt>
                <c:pt idx="1">
                  <c:v>21.533533494908596</c:v>
                </c:pt>
                <c:pt idx="2">
                  <c:v>24.897974027003183</c:v>
                </c:pt>
                <c:pt idx="3">
                  <c:v>27.957299220560429</c:v>
                </c:pt>
                <c:pt idx="4">
                  <c:v>30.60037024441781</c:v>
                </c:pt>
                <c:pt idx="5">
                  <c:v>32.4236900283328</c:v>
                </c:pt>
                <c:pt idx="6">
                  <c:v>#N/A</c:v>
                </c:pt>
                <c:pt idx="7">
                  <c:v>30.742566559151939</c:v>
                </c:pt>
                <c:pt idx="8">
                  <c:v>32.579979999999999</c:v>
                </c:pt>
                <c:pt idx="9">
                  <c:v>25.705634756454632</c:v>
                </c:pt>
                <c:pt idx="10">
                  <c:v>#N/A</c:v>
                </c:pt>
                <c:pt idx="11">
                  <c:v>14.034476825274149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EF-44BC-8829-9E7A48DCD41B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ETR'!$BE$66:$BQ$66</c:f>
              <c:numCache>
                <c:formatCode>General</c:formatCode>
                <c:ptCount val="13"/>
                <c:pt idx="0">
                  <c:v>13.745593379497235</c:v>
                </c:pt>
                <c:pt idx="1">
                  <c:v>19.274910264766593</c:v>
                </c:pt>
                <c:pt idx="2">
                  <c:v>21.920178136724775</c:v>
                </c:pt>
                <c:pt idx="3">
                  <c:v>23.798144742736255</c:v>
                </c:pt>
                <c:pt idx="4">
                  <c:v>26.459725596151369</c:v>
                </c:pt>
                <c:pt idx="5">
                  <c:v>27.724867561156508</c:v>
                </c:pt>
                <c:pt idx="6">
                  <c:v>#N/A</c:v>
                </c:pt>
                <c:pt idx="7">
                  <c:v>26.85374244696883</c:v>
                </c:pt>
                <c:pt idx="8">
                  <c:v>#N/A</c:v>
                </c:pt>
                <c:pt idx="9">
                  <c:v>23.071902990284645</c:v>
                </c:pt>
                <c:pt idx="10">
                  <c:v>#N/A</c:v>
                </c:pt>
                <c:pt idx="11">
                  <c:v>13.540166098646582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EF-44BC-8829-9E7A48DC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A_I'!$C$12</c:f>
          <c:strCache>
            <c:ptCount val="1"/>
            <c:pt idx="0">
              <c:v>Empeltre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A_I'!$D$12:$P$12</c:f>
              <c:numCache>
                <c:formatCode>General</c:formatCode>
                <c:ptCount val="13"/>
                <c:pt idx="0">
                  <c:v>12.968649384276063</c:v>
                </c:pt>
                <c:pt idx="1">
                  <c:v>12.968316273137907</c:v>
                </c:pt>
                <c:pt idx="2">
                  <c:v>12.966507435062544</c:v>
                </c:pt>
                <c:pt idx="3">
                  <c:v>12.955013854662766</c:v>
                </c:pt>
                <c:pt idx="4">
                  <c:v>12.881208421841324</c:v>
                </c:pt>
                <c:pt idx="5">
                  <c:v>12.406816056022862</c:v>
                </c:pt>
                <c:pt idx="6">
                  <c:v>11.289201621532584</c:v>
                </c:pt>
                <c:pt idx="7">
                  <c:v>9.5984557021273975</c:v>
                </c:pt>
                <c:pt idx="8">
                  <c:v>8.2880969325284486</c:v>
                </c:pt>
                <c:pt idx="9">
                  <c:v>5.6001496412857614</c:v>
                </c:pt>
                <c:pt idx="10">
                  <c:v>4.5102974599283021</c:v>
                </c:pt>
                <c:pt idx="11">
                  <c:v>2.0911601087611613</c:v>
                </c:pt>
                <c:pt idx="12">
                  <c:v>-0.52265769609860613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B2-416D-97DC-2B86CACD0D3D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A_I'!$D$43:$P$43</c:f>
              <c:numCache>
                <c:formatCode>General</c:formatCode>
                <c:ptCount val="13"/>
                <c:pt idx="0">
                  <c:v>1.9980961670360464</c:v>
                </c:pt>
                <c:pt idx="1">
                  <c:v>1.9980960773409659</c:v>
                </c:pt>
                <c:pt idx="2">
                  <c:v>1.9980947042657562</c:v>
                </c:pt>
                <c:pt idx="3">
                  <c:v>1.9980723868065711</c:v>
                </c:pt>
                <c:pt idx="4">
                  <c:v>1.9977089843255686</c:v>
                </c:pt>
                <c:pt idx="5">
                  <c:v>1.9917049044901218</c:v>
                </c:pt>
                <c:pt idx="6">
                  <c:v>1.9625143519125885</c:v>
                </c:pt>
                <c:pt idx="7">
                  <c:v>1.8809823970565318</c:v>
                </c:pt>
                <c:pt idx="8">
                  <c:v>1.7799811957272635</c:v>
                </c:pt>
                <c:pt idx="9">
                  <c:v>1.4212518999069899</c:v>
                </c:pt>
                <c:pt idx="10">
                  <c:v>1.1958054126971807</c:v>
                </c:pt>
                <c:pt idx="11">
                  <c:v>0.48305314324231369</c:v>
                </c:pt>
                <c:pt idx="12">
                  <c:v>-1.1995929714866378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B2-416D-97DC-2B86CACD0D3D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A_I'!$D$74:$P$74</c:f>
              <c:numCache>
                <c:formatCode>General</c:formatCode>
                <c:ptCount val="13"/>
                <c:pt idx="0">
                  <c:v>0.38222271569680005</c:v>
                </c:pt>
                <c:pt idx="1">
                  <c:v>0.38222271569680005</c:v>
                </c:pt>
                <c:pt idx="2">
                  <c:v>0.38222271569679783</c:v>
                </c:pt>
                <c:pt idx="3">
                  <c:v>0.38222271569508037</c:v>
                </c:pt>
                <c:pt idx="4">
                  <c:v>0.38222271437357186</c:v>
                </c:pt>
                <c:pt idx="5">
                  <c:v>0.3822216974668699</c:v>
                </c:pt>
                <c:pt idx="6">
                  <c:v>0.38216782052361348</c:v>
                </c:pt>
                <c:pt idx="7">
                  <c:v>0.38144019745717012</c:v>
                </c:pt>
                <c:pt idx="8">
                  <c:v>0.37927710752320726</c:v>
                </c:pt>
                <c:pt idx="9">
                  <c:v>0.36123678233578366</c:v>
                </c:pt>
                <c:pt idx="10">
                  <c:v>0.34267420098209445</c:v>
                </c:pt>
                <c:pt idx="11">
                  <c:v>0.24928266670231441</c:v>
                </c:pt>
                <c:pt idx="12">
                  <c:v>-0.85862456829744338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B2-416D-97DC-2B86CACD0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981227789004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ETR'!$BD$5</c:f>
          <c:strCache>
            <c:ptCount val="1"/>
            <c:pt idx="0">
              <c:v>Cornicabra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ETR'!$BE$5:$BQ$5</c:f>
              <c:numCache>
                <c:formatCode>General</c:formatCode>
                <c:ptCount val="13"/>
                <c:pt idx="0">
                  <c:v>33.659670000000006</c:v>
                </c:pt>
                <c:pt idx="1">
                  <c:v>43.328440000000001</c:v>
                </c:pt>
                <c:pt idx="2">
                  <c:v>49.275325000000002</c:v>
                </c:pt>
                <c:pt idx="3">
                  <c:v>52.826734999999999</c:v>
                </c:pt>
                <c:pt idx="4">
                  <c:v>53.993299999999998</c:v>
                </c:pt>
                <c:pt idx="5">
                  <c:v>53.403480000000002</c:v>
                </c:pt>
                <c:pt idx="6">
                  <c:v>51.896530000000006</c:v>
                </c:pt>
                <c:pt idx="7">
                  <c:v>#N/A</c:v>
                </c:pt>
                <c:pt idx="8">
                  <c:v>44.800260000000009</c:v>
                </c:pt>
                <c:pt idx="9">
                  <c:v>#N/A</c:v>
                </c:pt>
                <c:pt idx="10">
                  <c:v>28.563965</c:v>
                </c:pt>
                <c:pt idx="11">
                  <c:v>15.166404999999999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A3-4749-80D0-3C6D1E975ECD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ETR'!$BE$36:$BQ$36</c:f>
              <c:numCache>
                <c:formatCode>General</c:formatCode>
                <c:ptCount val="13"/>
                <c:pt idx="0">
                  <c:v>38.322990104142576</c:v>
                </c:pt>
                <c:pt idx="1">
                  <c:v>52.399385777819376</c:v>
                </c:pt>
                <c:pt idx="2">
                  <c:v>59.925966306890807</c:v>
                </c:pt>
                <c:pt idx="3">
                  <c:v>63.88958444853052</c:v>
                </c:pt>
                <c:pt idx="4">
                  <c:v>65.897672725782868</c:v>
                </c:pt>
                <c:pt idx="5">
                  <c:v>64.735022420383601</c:v>
                </c:pt>
                <c:pt idx="6">
                  <c:v>#N/A</c:v>
                </c:pt>
                <c:pt idx="7">
                  <c:v>53.763800977356425</c:v>
                </c:pt>
                <c:pt idx="8">
                  <c:v>#N/A</c:v>
                </c:pt>
                <c:pt idx="9">
                  <c:v>34.184746942630973</c:v>
                </c:pt>
                <c:pt idx="10">
                  <c:v>#N/A</c:v>
                </c:pt>
                <c:pt idx="11">
                  <c:v>14.796799129019506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A3-4749-80D0-3C6D1E975ECD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ETR'!$BE$67:$BQ$67</c:f>
              <c:numCache>
                <c:formatCode>General</c:formatCode>
                <c:ptCount val="13"/>
                <c:pt idx="0">
                  <c:v>32.317739035290757</c:v>
                </c:pt>
                <c:pt idx="1">
                  <c:v>47.046127006789959</c:v>
                </c:pt>
                <c:pt idx="2">
                  <c:v>54.298171080477211</c:v>
                </c:pt>
                <c:pt idx="3">
                  <c:v>59.414402260117917</c:v>
                </c:pt>
                <c:pt idx="4">
                  <c:v>61.946133008606751</c:v>
                </c:pt>
                <c:pt idx="5">
                  <c:v>63.488086205736018</c:v>
                </c:pt>
                <c:pt idx="6">
                  <c:v>#N/A</c:v>
                </c:pt>
                <c:pt idx="7">
                  <c:v>55.49936015644483</c:v>
                </c:pt>
                <c:pt idx="8">
                  <c:v>#N/A</c:v>
                </c:pt>
                <c:pt idx="9">
                  <c:v>35.402331568579406</c:v>
                </c:pt>
                <c:pt idx="10">
                  <c:v>#N/A</c:v>
                </c:pt>
                <c:pt idx="11">
                  <c:v>15.175083150327152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A3-4749-80D0-3C6D1E975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40456149877817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ETR'!$BD$6</c:f>
          <c:strCache>
            <c:ptCount val="1"/>
            <c:pt idx="0">
              <c:v>Chemlali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ETR'!$BE$6:$BQ$6</c:f>
              <c:numCache>
                <c:formatCode>General</c:formatCode>
                <c:ptCount val="13"/>
                <c:pt idx="0">
                  <c:v>53.483053032734517</c:v>
                </c:pt>
                <c:pt idx="1">
                  <c:v>64.417796706060898</c:v>
                </c:pt>
                <c:pt idx="2">
                  <c:v>70.117160284794807</c:v>
                </c:pt>
                <c:pt idx="3">
                  <c:v>73.253160874727371</c:v>
                </c:pt>
                <c:pt idx="4">
                  <c:v>74.719449442425812</c:v>
                </c:pt>
                <c:pt idx="5">
                  <c:v>72.908737367215622</c:v>
                </c:pt>
                <c:pt idx="6">
                  <c:v>66.875825458835664</c:v>
                </c:pt>
                <c:pt idx="7">
                  <c:v>#N/A</c:v>
                </c:pt>
                <c:pt idx="8">
                  <c:v>50.557094193285614</c:v>
                </c:pt>
                <c:pt idx="9">
                  <c:v>#N/A</c:v>
                </c:pt>
                <c:pt idx="10">
                  <c:v>28.936801786625377</c:v>
                </c:pt>
                <c:pt idx="11">
                  <c:v>15.105551930419738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0D-4287-85FA-DE2D255BDE3A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ETR'!$BE$37:$BQ$37</c:f>
              <c:numCache>
                <c:formatCode>General</c:formatCode>
                <c:ptCount val="13"/>
                <c:pt idx="0">
                  <c:v>17.826793805305861</c:v>
                </c:pt>
                <c:pt idx="1">
                  <c:v>24.407677422070222</c:v>
                </c:pt>
                <c:pt idx="2">
                  <c:v>25.960865048271746</c:v>
                </c:pt>
                <c:pt idx="3">
                  <c:v>27.645095556947098</c:v>
                </c:pt>
                <c:pt idx="4">
                  <c:v>28.956399822551372</c:v>
                </c:pt>
                <c:pt idx="5">
                  <c:v>29.931035813633383</c:v>
                </c:pt>
                <c:pt idx="6">
                  <c:v>#N/A</c:v>
                </c:pt>
                <c:pt idx="7">
                  <c:v>29.515040696499923</c:v>
                </c:pt>
                <c:pt idx="8">
                  <c:v>#N/A</c:v>
                </c:pt>
                <c:pt idx="9">
                  <c:v>25.81883087934504</c:v>
                </c:pt>
                <c:pt idx="10">
                  <c:v>#N/A</c:v>
                </c:pt>
                <c:pt idx="11">
                  <c:v>13.229531802740278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0D-4287-85FA-DE2D255BDE3A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ETR'!$BE$68:$BQ$68</c:f>
              <c:numCache>
                <c:formatCode>General</c:formatCode>
                <c:ptCount val="13"/>
                <c:pt idx="0">
                  <c:v>15.378243409881007</c:v>
                </c:pt>
                <c:pt idx="1">
                  <c:v>20.639916499404997</c:v>
                </c:pt>
                <c:pt idx="2">
                  <c:v>22.786106499426737</c:v>
                </c:pt>
                <c:pt idx="3">
                  <c:v>25.081632553873821</c:v>
                </c:pt>
                <c:pt idx="4">
                  <c:v>26.518241369248578</c:v>
                </c:pt>
                <c:pt idx="5">
                  <c:v>27.579312186731041</c:v>
                </c:pt>
                <c:pt idx="6">
                  <c:v>#N/A</c:v>
                </c:pt>
                <c:pt idx="7">
                  <c:v>27.496889175768345</c:v>
                </c:pt>
                <c:pt idx="8">
                  <c:v>#N/A</c:v>
                </c:pt>
                <c:pt idx="9">
                  <c:v>24.464968185108713</c:v>
                </c:pt>
                <c:pt idx="10">
                  <c:v>#N/A</c:v>
                </c:pt>
                <c:pt idx="11">
                  <c:v>12.62760656522034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0D-4287-85FA-DE2D255B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ETR'!$BD$7</c:f>
          <c:strCache>
            <c:ptCount val="1"/>
            <c:pt idx="0">
              <c:v>Cornezuelo de Jaén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ETR'!$BE$7:$BQ$7</c:f>
              <c:numCache>
                <c:formatCode>General</c:formatCode>
                <c:ptCount val="13"/>
                <c:pt idx="0">
                  <c:v>25.819029999999998</c:v>
                </c:pt>
                <c:pt idx="1">
                  <c:v>30.853603333333332</c:v>
                </c:pt>
                <c:pt idx="2">
                  <c:v>34.031530000000004</c:v>
                </c:pt>
                <c:pt idx="3">
                  <c:v>37.097183333333334</c:v>
                </c:pt>
                <c:pt idx="4">
                  <c:v>38.851973333333333</c:v>
                </c:pt>
                <c:pt idx="5">
                  <c:v>39.240366666666667</c:v>
                </c:pt>
                <c:pt idx="6">
                  <c:v>38.286943333333333</c:v>
                </c:pt>
                <c:pt idx="7">
                  <c:v>#N/A</c:v>
                </c:pt>
                <c:pt idx="8">
                  <c:v>34.31941333333333</c:v>
                </c:pt>
                <c:pt idx="9">
                  <c:v>#N/A</c:v>
                </c:pt>
                <c:pt idx="10">
                  <c:v>24.897273333333338</c:v>
                </c:pt>
                <c:pt idx="11">
                  <c:v>14.156396666666668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18-442A-9951-7F0A226681AD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ETR'!$BE$38:$BQ$38</c:f>
              <c:numCache>
                <c:formatCode>General</c:formatCode>
                <c:ptCount val="13"/>
                <c:pt idx="0">
                  <c:v>16.422940755191494</c:v>
                </c:pt>
                <c:pt idx="1">
                  <c:v>21.062129159418681</c:v>
                </c:pt>
                <c:pt idx="2">
                  <c:v>24.07049067977923</c:v>
                </c:pt>
                <c:pt idx="3">
                  <c:v>26.755319732922079</c:v>
                </c:pt>
                <c:pt idx="4">
                  <c:v>29.342838478514512</c:v>
                </c:pt>
                <c:pt idx="5">
                  <c:v>31.422020861640874</c:v>
                </c:pt>
                <c:pt idx="6">
                  <c:v>#N/A</c:v>
                </c:pt>
                <c:pt idx="7">
                  <c:v>31.514223073601983</c:v>
                </c:pt>
                <c:pt idx="8">
                  <c:v>#N/A</c:v>
                </c:pt>
                <c:pt idx="9">
                  <c:v>27.692063417787779</c:v>
                </c:pt>
                <c:pt idx="10">
                  <c:v>#N/A</c:v>
                </c:pt>
                <c:pt idx="11">
                  <c:v>14.257543748302638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18-442A-9951-7F0A226681AD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ETR'!$BE$69:$BQ$69</c:f>
              <c:numCache>
                <c:formatCode>General</c:formatCode>
                <c:ptCount val="13"/>
                <c:pt idx="0">
                  <c:v>4.441173238375832</c:v>
                </c:pt>
                <c:pt idx="1">
                  <c:v>8.4342997603387975</c:v>
                </c:pt>
                <c:pt idx="2">
                  <c:v>10.698415740138334</c:v>
                </c:pt>
                <c:pt idx="3">
                  <c:v>11.493258762699536</c:v>
                </c:pt>
                <c:pt idx="4">
                  <c:v>12.581736610350468</c:v>
                </c:pt>
                <c:pt idx="5">
                  <c:v>13.307646609231098</c:v>
                </c:pt>
                <c:pt idx="6">
                  <c:v>#N/A</c:v>
                </c:pt>
                <c:pt idx="7">
                  <c:v>14.105352161308938</c:v>
                </c:pt>
                <c:pt idx="8">
                  <c:v>#N/A</c:v>
                </c:pt>
                <c:pt idx="9">
                  <c:v>13.586619487947733</c:v>
                </c:pt>
                <c:pt idx="10">
                  <c:v>#N/A</c:v>
                </c:pt>
                <c:pt idx="11">
                  <c:v>9.3547422698794929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18-442A-9951-7F0A2266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ETR'!$BD$8</c:f>
          <c:strCache>
            <c:ptCount val="1"/>
            <c:pt idx="0">
              <c:v>Empeltre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ETR'!$BE$8:$BQ$8</c:f>
              <c:numCache>
                <c:formatCode>General</c:formatCode>
                <c:ptCount val="13"/>
                <c:pt idx="0">
                  <c:v>65.055353333333343</c:v>
                </c:pt>
                <c:pt idx="1">
                  <c:v>82.64246</c:v>
                </c:pt>
                <c:pt idx="2">
                  <c:v>91.239429999999984</c:v>
                </c:pt>
                <c:pt idx="3">
                  <c:v>96.14527333333335</c:v>
                </c:pt>
                <c:pt idx="4">
                  <c:v>98.970520000000008</c:v>
                </c:pt>
                <c:pt idx="5">
                  <c:v>93.079736666666648</c:v>
                </c:pt>
                <c:pt idx="6">
                  <c:v>80.219793333333328</c:v>
                </c:pt>
                <c:pt idx="7">
                  <c:v>#N/A</c:v>
                </c:pt>
                <c:pt idx="8">
                  <c:v>55.811026666666663</c:v>
                </c:pt>
                <c:pt idx="9">
                  <c:v>#N/A</c:v>
                </c:pt>
                <c:pt idx="10">
                  <c:v>30.380219999999998</c:v>
                </c:pt>
                <c:pt idx="11">
                  <c:v>15.61556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F6-43C6-A7C5-2077E7710E59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ETR'!$BE$39:$BQ$39</c:f>
              <c:numCache>
                <c:formatCode>General</c:formatCode>
                <c:ptCount val="13"/>
                <c:pt idx="0">
                  <c:v>34.581491909924161</c:v>
                </c:pt>
                <c:pt idx="1">
                  <c:v>41.401690556822309</c:v>
                </c:pt>
                <c:pt idx="2">
                  <c:v>45.491449449046115</c:v>
                </c:pt>
                <c:pt idx="3">
                  <c:v>49.199595033487569</c:v>
                </c:pt>
                <c:pt idx="4">
                  <c:v>51.50496473638178</c:v>
                </c:pt>
                <c:pt idx="5">
                  <c:v>52.556113659691043</c:v>
                </c:pt>
                <c:pt idx="6">
                  <c:v>#N/A</c:v>
                </c:pt>
                <c:pt idx="7">
                  <c:v>48.82121331853461</c:v>
                </c:pt>
                <c:pt idx="8">
                  <c:v>#N/A</c:v>
                </c:pt>
                <c:pt idx="9">
                  <c:v>34.000773099790756</c:v>
                </c:pt>
                <c:pt idx="10">
                  <c:v>#N/A</c:v>
                </c:pt>
                <c:pt idx="11">
                  <c:v>14.857173808335798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F6-43C6-A7C5-2077E7710E59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ETR'!$BE$70:$BQ$70</c:f>
              <c:numCache>
                <c:formatCode>General</c:formatCode>
                <c:ptCount val="13"/>
                <c:pt idx="0">
                  <c:v>0.13512092333093745</c:v>
                </c:pt>
                <c:pt idx="1">
                  <c:v>2.3695125804415218</c:v>
                </c:pt>
                <c:pt idx="2">
                  <c:v>3.2919863239207507</c:v>
                </c:pt>
                <c:pt idx="3">
                  <c:v>4.1476407934078932</c:v>
                </c:pt>
                <c:pt idx="4">
                  <c:v>4.629104225639872</c:v>
                </c:pt>
                <c:pt idx="5">
                  <c:v>4.8240495188978372</c:v>
                </c:pt>
                <c:pt idx="6">
                  <c:v>#N/A</c:v>
                </c:pt>
                <c:pt idx="7">
                  <c:v>5.129650722423639</c:v>
                </c:pt>
                <c:pt idx="8">
                  <c:v>#N/A</c:v>
                </c:pt>
                <c:pt idx="9">
                  <c:v>4.9537657637736672</c:v>
                </c:pt>
                <c:pt idx="10">
                  <c:v>#N/A</c:v>
                </c:pt>
                <c:pt idx="11">
                  <c:v>3.6803194508827302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F6-43C6-A7C5-2077E771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981227789004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ETR'!$BD$9</c:f>
          <c:strCache>
            <c:ptCount val="1"/>
            <c:pt idx="0">
              <c:v>Frantoio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ETR'!$BE$9:$BQ$9</c:f>
              <c:numCache>
                <c:formatCode>General</c:formatCode>
                <c:ptCount val="13"/>
                <c:pt idx="0">
                  <c:v>18.77495</c:v>
                </c:pt>
                <c:pt idx="1">
                  <c:v>23.098796666666665</c:v>
                </c:pt>
                <c:pt idx="2">
                  <c:v>25.102136666666667</c:v>
                </c:pt>
                <c:pt idx="3">
                  <c:v>27.224740000000001</c:v>
                </c:pt>
                <c:pt idx="4">
                  <c:v>29.020803333333333</c:v>
                </c:pt>
                <c:pt idx="5">
                  <c:v>30.25315333333333</c:v>
                </c:pt>
                <c:pt idx="6">
                  <c:v>29.88703666666667</c:v>
                </c:pt>
                <c:pt idx="7">
                  <c:v>#N/A</c:v>
                </c:pt>
                <c:pt idx="8">
                  <c:v>27.8062</c:v>
                </c:pt>
                <c:pt idx="9">
                  <c:v>#N/A</c:v>
                </c:pt>
                <c:pt idx="10">
                  <c:v>22.543226666666666</c:v>
                </c:pt>
                <c:pt idx="11">
                  <c:v>13.939333333333334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BF-41A4-B9A0-1B54D5FADC3C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ETR'!$BE$40:$BQ$40</c:f>
              <c:numCache>
                <c:formatCode>General</c:formatCode>
                <c:ptCount val="13"/>
                <c:pt idx="0">
                  <c:v>25.687992045776525</c:v>
                </c:pt>
                <c:pt idx="1">
                  <c:v>31.045075406069998</c:v>
                </c:pt>
                <c:pt idx="2">
                  <c:v>34.878515714819962</c:v>
                </c:pt>
                <c:pt idx="3">
                  <c:v>37.807418355542318</c:v>
                </c:pt>
                <c:pt idx="4">
                  <c:v>40.080388132584531</c:v>
                </c:pt>
                <c:pt idx="5">
                  <c:v>41.548457951676205</c:v>
                </c:pt>
                <c:pt idx="6">
                  <c:v>#N/A</c:v>
                </c:pt>
                <c:pt idx="7">
                  <c:v>40.568915465185476</c:v>
                </c:pt>
                <c:pt idx="8">
                  <c:v>#N/A</c:v>
                </c:pt>
                <c:pt idx="9">
                  <c:v>32.200299943068529</c:v>
                </c:pt>
                <c:pt idx="10">
                  <c:v>#N/A</c:v>
                </c:pt>
                <c:pt idx="11">
                  <c:v>14.943341086312191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BF-41A4-B9A0-1B54D5FADC3C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ETR'!$BE$71:$BQ$71</c:f>
              <c:numCache>
                <c:formatCode>General</c:formatCode>
                <c:ptCount val="13"/>
                <c:pt idx="0">
                  <c:v>14.806141303802804</c:v>
                </c:pt>
                <c:pt idx="1">
                  <c:v>18.173923630405397</c:v>
                </c:pt>
                <c:pt idx="2">
                  <c:v>20.103835935725268</c:v>
                </c:pt>
                <c:pt idx="3">
                  <c:v>22.666998784090445</c:v>
                </c:pt>
                <c:pt idx="4">
                  <c:v>25.217241771272285</c:v>
                </c:pt>
                <c:pt idx="5">
                  <c:v>26.554736217313309</c:v>
                </c:pt>
                <c:pt idx="6">
                  <c:v>#N/A</c:v>
                </c:pt>
                <c:pt idx="7">
                  <c:v>26.913507847268509</c:v>
                </c:pt>
                <c:pt idx="8">
                  <c:v>#N/A</c:v>
                </c:pt>
                <c:pt idx="9">
                  <c:v>23.500583994906101</c:v>
                </c:pt>
                <c:pt idx="10">
                  <c:v>#N/A</c:v>
                </c:pt>
                <c:pt idx="11">
                  <c:v>13.289009561826678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BF-41A4-B9A0-1B54D5FA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ETR'!$BD$10</c:f>
          <c:strCache>
            <c:ptCount val="1"/>
            <c:pt idx="0">
              <c:v>Hojiblanca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ETR'!$BE$10:$BQ$10</c:f>
              <c:numCache>
                <c:formatCode>General</c:formatCode>
                <c:ptCount val="13"/>
                <c:pt idx="0">
                  <c:v>58.176247500000002</c:v>
                </c:pt>
                <c:pt idx="1">
                  <c:v>76.734477749999996</c:v>
                </c:pt>
                <c:pt idx="2">
                  <c:v>84.92983799999999</c:v>
                </c:pt>
                <c:pt idx="3">
                  <c:v>89.916807750000004</c:v>
                </c:pt>
                <c:pt idx="4">
                  <c:v>90.418256250000013</c:v>
                </c:pt>
                <c:pt idx="5">
                  <c:v>84.281063999999986</c:v>
                </c:pt>
                <c:pt idx="6">
                  <c:v>73.998177749999996</c:v>
                </c:pt>
                <c:pt idx="7">
                  <c:v>#N/A</c:v>
                </c:pt>
                <c:pt idx="8">
                  <c:v>54.534317250000001</c:v>
                </c:pt>
                <c:pt idx="9">
                  <c:v>#N/A</c:v>
                </c:pt>
                <c:pt idx="10">
                  <c:v>31.194575999999998</c:v>
                </c:pt>
                <c:pt idx="11">
                  <c:v>16.212908249999998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BC-4BBE-B41D-764DE716FB13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ETR'!$BE$41:$BQ$41</c:f>
              <c:numCache>
                <c:formatCode>General</c:formatCode>
                <c:ptCount val="13"/>
                <c:pt idx="0">
                  <c:v>25.188891390345177</c:v>
                </c:pt>
                <c:pt idx="1">
                  <c:v>32.068662326203722</c:v>
                </c:pt>
                <c:pt idx="2">
                  <c:v>36.527440185060719</c:v>
                </c:pt>
                <c:pt idx="3">
                  <c:v>41.003628141611742</c:v>
                </c:pt>
                <c:pt idx="4">
                  <c:v>44.305819687381792</c:v>
                </c:pt>
                <c:pt idx="5">
                  <c:v>46.7949915668637</c:v>
                </c:pt>
                <c:pt idx="6">
                  <c:v>#N/A</c:v>
                </c:pt>
                <c:pt idx="7">
                  <c:v>43.630572758534541</c:v>
                </c:pt>
                <c:pt idx="8">
                  <c:v>#N/A</c:v>
                </c:pt>
                <c:pt idx="9">
                  <c:v>31.004927375083952</c:v>
                </c:pt>
                <c:pt idx="10">
                  <c:v>#N/A</c:v>
                </c:pt>
                <c:pt idx="11">
                  <c:v>14.326877339483442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BC-4BBE-B41D-764DE716FB13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ETR'!$BE$72:$BQ$72</c:f>
              <c:numCache>
                <c:formatCode>General</c:formatCode>
                <c:ptCount val="13"/>
                <c:pt idx="0">
                  <c:v>19.012598202500712</c:v>
                </c:pt>
                <c:pt idx="1">
                  <c:v>21.998723711102016</c:v>
                </c:pt>
                <c:pt idx="2">
                  <c:v>23.359005873134631</c:v>
                </c:pt>
                <c:pt idx="3">
                  <c:v>25.237227795553164</c:v>
                </c:pt>
                <c:pt idx="4">
                  <c:v>25.760241988651615</c:v>
                </c:pt>
                <c:pt idx="5">
                  <c:v>26.76338698756528</c:v>
                </c:pt>
                <c:pt idx="6">
                  <c:v>#N/A</c:v>
                </c:pt>
                <c:pt idx="7">
                  <c:v>25.48881354391359</c:v>
                </c:pt>
                <c:pt idx="8">
                  <c:v>#N/A</c:v>
                </c:pt>
                <c:pt idx="9">
                  <c:v>21.766439345662967</c:v>
                </c:pt>
                <c:pt idx="10">
                  <c:v>#N/A</c:v>
                </c:pt>
                <c:pt idx="11">
                  <c:v>12.279407148256501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BC-4BBE-B41D-764DE716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ETR'!$BD$11</c:f>
          <c:strCache>
            <c:ptCount val="1"/>
            <c:pt idx="0">
              <c:v>Koroneiki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ETR'!$BE$11:$BQ$11</c:f>
              <c:numCache>
                <c:formatCode>General</c:formatCode>
                <c:ptCount val="13"/>
                <c:pt idx="0">
                  <c:v>21.37163</c:v>
                </c:pt>
                <c:pt idx="1">
                  <c:v>28.6894025</c:v>
                </c:pt>
                <c:pt idx="2">
                  <c:v>32.3742625</c:v>
                </c:pt>
                <c:pt idx="3">
                  <c:v>35.489377499999996</c:v>
                </c:pt>
                <c:pt idx="4">
                  <c:v>37.059465000000003</c:v>
                </c:pt>
                <c:pt idx="5">
                  <c:v>37.206719999999997</c:v>
                </c:pt>
                <c:pt idx="6">
                  <c:v>36.043462499999997</c:v>
                </c:pt>
                <c:pt idx="7">
                  <c:v>#N/A</c:v>
                </c:pt>
                <c:pt idx="8">
                  <c:v>31.816075000000001</c:v>
                </c:pt>
                <c:pt idx="9">
                  <c:v>#N/A</c:v>
                </c:pt>
                <c:pt idx="10">
                  <c:v>23.4064625</c:v>
                </c:pt>
                <c:pt idx="11">
                  <c:v>13.4266275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4A-48FD-9C47-31CFCA8DEC3A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ETR'!$BE$42:$BQ$42</c:f>
              <c:numCache>
                <c:formatCode>General</c:formatCode>
                <c:ptCount val="13"/>
                <c:pt idx="0">
                  <c:v>25.993640213723879</c:v>
                </c:pt>
                <c:pt idx="1">
                  <c:v>34.019225776488021</c:v>
                </c:pt>
                <c:pt idx="2">
                  <c:v>41.320331493634718</c:v>
                </c:pt>
                <c:pt idx="3">
                  <c:v>46.659344840693024</c:v>
                </c:pt>
                <c:pt idx="4">
                  <c:v>50.383685885921409</c:v>
                </c:pt>
                <c:pt idx="5">
                  <c:v>52.341132707284743</c:v>
                </c:pt>
                <c:pt idx="6">
                  <c:v>#N/A</c:v>
                </c:pt>
                <c:pt idx="7">
                  <c:v>48.049694074206428</c:v>
                </c:pt>
                <c:pt idx="8">
                  <c:v>#N/A</c:v>
                </c:pt>
                <c:pt idx="9">
                  <c:v>36.062552632588854</c:v>
                </c:pt>
                <c:pt idx="10">
                  <c:v>#N/A</c:v>
                </c:pt>
                <c:pt idx="11">
                  <c:v>16.4012175584635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4A-48FD-9C47-31CFCA8DEC3A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ETR'!$BE$73:$BQ$73</c:f>
              <c:numCache>
                <c:formatCode>General</c:formatCode>
                <c:ptCount val="13"/>
                <c:pt idx="0">
                  <c:v>5.2366175421352263</c:v>
                </c:pt>
                <c:pt idx="1">
                  <c:v>8.1753362314223779</c:v>
                </c:pt>
                <c:pt idx="2">
                  <c:v>10.638251042776389</c:v>
                </c:pt>
                <c:pt idx="3">
                  <c:v>11.676976312879766</c:v>
                </c:pt>
                <c:pt idx="4">
                  <c:v>13.639569770368615</c:v>
                </c:pt>
                <c:pt idx="5">
                  <c:v>14.501027954900895</c:v>
                </c:pt>
                <c:pt idx="6">
                  <c:v>#N/A</c:v>
                </c:pt>
                <c:pt idx="7">
                  <c:v>15.603439143341115</c:v>
                </c:pt>
                <c:pt idx="8">
                  <c:v>#N/A</c:v>
                </c:pt>
                <c:pt idx="9">
                  <c:v>15.17583330250948</c:v>
                </c:pt>
                <c:pt idx="10">
                  <c:v>#N/A</c:v>
                </c:pt>
                <c:pt idx="11">
                  <c:v>10.845732158241963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4A-48FD-9C47-31CFCA8D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2197664947054034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ETR'!$BD$12</c:f>
          <c:strCache>
            <c:ptCount val="1"/>
            <c:pt idx="0">
              <c:v>Martina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ETR'!$BE$12:$BQ$12</c:f>
              <c:numCache>
                <c:formatCode>General</c:formatCode>
                <c:ptCount val="13"/>
                <c:pt idx="0">
                  <c:v>17.255525000000002</c:v>
                </c:pt>
                <c:pt idx="1">
                  <c:v>28.860384999999997</c:v>
                </c:pt>
                <c:pt idx="2">
                  <c:v>37.18918</c:v>
                </c:pt>
                <c:pt idx="3">
                  <c:v>44.353585000000002</c:v>
                </c:pt>
                <c:pt idx="4">
                  <c:v>50.458970000000001</c:v>
                </c:pt>
                <c:pt idx="5">
                  <c:v>54.701979999999999</c:v>
                </c:pt>
                <c:pt idx="6">
                  <c:v>56.412265000000012</c:v>
                </c:pt>
                <c:pt idx="7">
                  <c:v>#N/A</c:v>
                </c:pt>
                <c:pt idx="8">
                  <c:v>48.348845000000004</c:v>
                </c:pt>
                <c:pt idx="9">
                  <c:v>#N/A</c:v>
                </c:pt>
                <c:pt idx="10">
                  <c:v>29.456620000000001</c:v>
                </c:pt>
                <c:pt idx="11">
                  <c:v>15.397955000000001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B4-4855-916A-855E6D3FAD8B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ETR'!$BE$43:$BQ$43</c:f>
              <c:numCache>
                <c:formatCode>General</c:formatCode>
                <c:ptCount val="13"/>
                <c:pt idx="0">
                  <c:v>19.278103311643349</c:v>
                </c:pt>
                <c:pt idx="1">
                  <c:v>29.718453083743562</c:v>
                </c:pt>
                <c:pt idx="2">
                  <c:v>34.934211333859629</c:v>
                </c:pt>
                <c:pt idx="3">
                  <c:v>38.005133103223116</c:v>
                </c:pt>
                <c:pt idx="4">
                  <c:v>40.04655051520448</c:v>
                </c:pt>
                <c:pt idx="5">
                  <c:v>41.184016751900849</c:v>
                </c:pt>
                <c:pt idx="6">
                  <c:v>#N/A</c:v>
                </c:pt>
                <c:pt idx="7">
                  <c:v>36.769549961151228</c:v>
                </c:pt>
                <c:pt idx="8">
                  <c:v>#N/A</c:v>
                </c:pt>
                <c:pt idx="9">
                  <c:v>28.614360451365602</c:v>
                </c:pt>
                <c:pt idx="10">
                  <c:v>#N/A</c:v>
                </c:pt>
                <c:pt idx="11">
                  <c:v>14.161990334909662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B4-4855-916A-855E6D3FAD8B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ETR'!$BE$74:$BQ$74</c:f>
              <c:numCache>
                <c:formatCode>General</c:formatCode>
                <c:ptCount val="13"/>
                <c:pt idx="0">
                  <c:v>10.272546024196112</c:v>
                </c:pt>
                <c:pt idx="1">
                  <c:v>18.699694291408427</c:v>
                </c:pt>
                <c:pt idx="2">
                  <c:v>22.566941434523695</c:v>
                </c:pt>
                <c:pt idx="3">
                  <c:v>25.613442374726336</c:v>
                </c:pt>
                <c:pt idx="4">
                  <c:v>26.94997417793396</c:v>
                </c:pt>
                <c:pt idx="5">
                  <c:v>28.843903133621914</c:v>
                </c:pt>
                <c:pt idx="6">
                  <c:v>#N/A</c:v>
                </c:pt>
                <c:pt idx="7">
                  <c:v>28.390892353873546</c:v>
                </c:pt>
                <c:pt idx="8">
                  <c:v>#N/A</c:v>
                </c:pt>
                <c:pt idx="9">
                  <c:v>24.418957524422691</c:v>
                </c:pt>
                <c:pt idx="10">
                  <c:v>#N/A</c:v>
                </c:pt>
                <c:pt idx="11">
                  <c:v>13.663287696957083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B4-4855-916A-855E6D3F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164594080912300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ETR'!$BD$13</c:f>
          <c:strCache>
            <c:ptCount val="1"/>
            <c:pt idx="0">
              <c:v>Manzanilla de Sevilla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ETR'!$BE$13:$BQ$13</c:f>
              <c:numCache>
                <c:formatCode>General</c:formatCode>
                <c:ptCount val="13"/>
                <c:pt idx="0">
                  <c:v>16.531289999999998</c:v>
                </c:pt>
                <c:pt idx="1">
                  <c:v>21.900193333333334</c:v>
                </c:pt>
                <c:pt idx="2">
                  <c:v>22.770496666666666</c:v>
                </c:pt>
                <c:pt idx="3">
                  <c:v>25.075523333333336</c:v>
                </c:pt>
                <c:pt idx="4">
                  <c:v>26.922600000000003</c:v>
                </c:pt>
                <c:pt idx="5">
                  <c:v>27.518276666666662</c:v>
                </c:pt>
                <c:pt idx="6">
                  <c:v>27.764700000000001</c:v>
                </c:pt>
                <c:pt idx="7">
                  <c:v>#N/A</c:v>
                </c:pt>
                <c:pt idx="8">
                  <c:v>25.929236666666668</c:v>
                </c:pt>
                <c:pt idx="9">
                  <c:v>#N/A</c:v>
                </c:pt>
                <c:pt idx="10">
                  <c:v>20.071563333333334</c:v>
                </c:pt>
                <c:pt idx="11">
                  <c:v>11.974470333333334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71-4DAE-A7C6-372665E15A93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ETR'!$BE$44:$BQ$44</c:f>
              <c:numCache>
                <c:formatCode>General</c:formatCode>
                <c:ptCount val="13"/>
                <c:pt idx="0">
                  <c:v>20.867261688267018</c:v>
                </c:pt>
                <c:pt idx="1">
                  <c:v>28.150859435144078</c:v>
                </c:pt>
                <c:pt idx="2">
                  <c:v>32.11461828505464</c:v>
                </c:pt>
                <c:pt idx="3">
                  <c:v>35.09092537493347</c:v>
                </c:pt>
                <c:pt idx="4">
                  <c:v>37.293804828862193</c:v>
                </c:pt>
                <c:pt idx="5">
                  <c:v>38.797917158796437</c:v>
                </c:pt>
                <c:pt idx="6">
                  <c:v>#N/A</c:v>
                </c:pt>
                <c:pt idx="7">
                  <c:v>36.946263269209986</c:v>
                </c:pt>
                <c:pt idx="8">
                  <c:v>#N/A</c:v>
                </c:pt>
                <c:pt idx="9">
                  <c:v>29.354915374272853</c:v>
                </c:pt>
                <c:pt idx="10">
                  <c:v>#N/A</c:v>
                </c:pt>
                <c:pt idx="11">
                  <c:v>14.384759835024539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71-4DAE-A7C6-372665E15A93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ETR'!$BE$75:$BQ$75</c:f>
              <c:numCache>
                <c:formatCode>General</c:formatCode>
                <c:ptCount val="13"/>
                <c:pt idx="0">
                  <c:v>13.479416683250157</c:v>
                </c:pt>
                <c:pt idx="1">
                  <c:v>17.874900858029665</c:v>
                </c:pt>
                <c:pt idx="2">
                  <c:v>20.441286260567516</c:v>
                </c:pt>
                <c:pt idx="3">
                  <c:v>22.716607031560436</c:v>
                </c:pt>
                <c:pt idx="4">
                  <c:v>24.350189218693746</c:v>
                </c:pt>
                <c:pt idx="5">
                  <c:v>25.592104361466813</c:v>
                </c:pt>
                <c:pt idx="6">
                  <c:v>#N/A</c:v>
                </c:pt>
                <c:pt idx="7">
                  <c:v>25.6215672128404</c:v>
                </c:pt>
                <c:pt idx="8">
                  <c:v>#N/A</c:v>
                </c:pt>
                <c:pt idx="9">
                  <c:v>22.843047622066287</c:v>
                </c:pt>
                <c:pt idx="10">
                  <c:v>#N/A</c:v>
                </c:pt>
                <c:pt idx="11">
                  <c:v>13.731687604131587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71-4DAE-A7C6-372665E1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025251153950581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ETR'!$BD$14</c:f>
          <c:strCache>
            <c:ptCount val="1"/>
            <c:pt idx="0">
              <c:v>Picual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ETR'!$BE$14:$BQ$14</c:f>
              <c:numCache>
                <c:formatCode>General</c:formatCode>
                <c:ptCount val="13"/>
                <c:pt idx="0">
                  <c:v>42.403769358678154</c:v>
                </c:pt>
                <c:pt idx="1">
                  <c:v>56.874840857019514</c:v>
                </c:pt>
                <c:pt idx="2">
                  <c:v>60.743796110895147</c:v>
                </c:pt>
                <c:pt idx="3">
                  <c:v>70.89403216233309</c:v>
                </c:pt>
                <c:pt idx="4">
                  <c:v>88.329216074561486</c:v>
                </c:pt>
                <c:pt idx="5">
                  <c:v>72.026620993379595</c:v>
                </c:pt>
                <c:pt idx="6">
                  <c:v>59.076239387633557</c:v>
                </c:pt>
                <c:pt idx="7">
                  <c:v>#N/A</c:v>
                </c:pt>
                <c:pt idx="8">
                  <c:v>49.039707398684051</c:v>
                </c:pt>
                <c:pt idx="9">
                  <c:v>#N/A</c:v>
                </c:pt>
                <c:pt idx="10">
                  <c:v>29.247516585312564</c:v>
                </c:pt>
                <c:pt idx="11">
                  <c:v>15.403892502182297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5A-4C7F-ADC8-7CDFA2D7EAE6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ETR'!$BE$45:$BQ$45</c:f>
              <c:numCache>
                <c:formatCode>General</c:formatCode>
                <c:ptCount val="13"/>
                <c:pt idx="0">
                  <c:v>20.018215494670226</c:v>
                </c:pt>
                <c:pt idx="1">
                  <c:v>30.781406726240579</c:v>
                </c:pt>
                <c:pt idx="2">
                  <c:v>34.349150015133233</c:v>
                </c:pt>
                <c:pt idx="3">
                  <c:v>38.775154152162919</c:v>
                </c:pt>
                <c:pt idx="4">
                  <c:v>41.851176776009673</c:v>
                </c:pt>
                <c:pt idx="5">
                  <c:v>41.789209871348035</c:v>
                </c:pt>
                <c:pt idx="6">
                  <c:v>#N/A</c:v>
                </c:pt>
                <c:pt idx="7">
                  <c:v>36.18042284914268</c:v>
                </c:pt>
                <c:pt idx="8">
                  <c:v>#N/A</c:v>
                </c:pt>
                <c:pt idx="9">
                  <c:v>25.366796964215112</c:v>
                </c:pt>
                <c:pt idx="10">
                  <c:v>#N/A</c:v>
                </c:pt>
                <c:pt idx="11">
                  <c:v>13.194596102053655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5A-4C7F-ADC8-7CDFA2D7EAE6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ETR'!$BE$76:$BQ$76</c:f>
              <c:numCache>
                <c:formatCode>General</c:formatCode>
                <c:ptCount val="13"/>
                <c:pt idx="0">
                  <c:v>11.460078104015393</c:v>
                </c:pt>
                <c:pt idx="1">
                  <c:v>14.32857286610454</c:v>
                </c:pt>
                <c:pt idx="2">
                  <c:v>14.72534056616202</c:v>
                </c:pt>
                <c:pt idx="3">
                  <c:v>14.997588385323171</c:v>
                </c:pt>
                <c:pt idx="4">
                  <c:v>16.182159275530616</c:v>
                </c:pt>
                <c:pt idx="5">
                  <c:v>16.313948687299916</c:v>
                </c:pt>
                <c:pt idx="6">
                  <c:v>#N/A</c:v>
                </c:pt>
                <c:pt idx="7">
                  <c:v>16.147547471562934</c:v>
                </c:pt>
                <c:pt idx="8">
                  <c:v>#N/A</c:v>
                </c:pt>
                <c:pt idx="9">
                  <c:v>14.640125471584582</c:v>
                </c:pt>
                <c:pt idx="10">
                  <c:v>#N/A</c:v>
                </c:pt>
                <c:pt idx="11">
                  <c:v>10.541024314910278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5A-4C7F-ADC8-7CDFA2D7E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A_I'!$C$13</c:f>
          <c:strCache>
            <c:ptCount val="1"/>
            <c:pt idx="0">
              <c:v>Frantoio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A_I'!$D$13:$P$13</c:f>
              <c:numCache>
                <c:formatCode>General</c:formatCode>
                <c:ptCount val="13"/>
                <c:pt idx="0">
                  <c:v>1.9284024384057574</c:v>
                </c:pt>
                <c:pt idx="1">
                  <c:v>1.9280631584281689</c:v>
                </c:pt>
                <c:pt idx="2">
                  <c:v>1.9268405213327306</c:v>
                </c:pt>
                <c:pt idx="3">
                  <c:v>1.921448297241821</c:v>
                </c:pt>
                <c:pt idx="4">
                  <c:v>1.8978665377341351</c:v>
                </c:pt>
                <c:pt idx="5">
                  <c:v>1.7984134043958595</c:v>
                </c:pt>
                <c:pt idx="6">
                  <c:v>1.6317410617385095</c:v>
                </c:pt>
                <c:pt idx="7">
                  <c:v>1.4320165565235414</c:v>
                </c:pt>
                <c:pt idx="8">
                  <c:v>1.2918057364995497</c:v>
                </c:pt>
                <c:pt idx="9">
                  <c:v>0.97920794698981883</c:v>
                </c:pt>
                <c:pt idx="10">
                  <c:v>0.81227976100868005</c:v>
                </c:pt>
                <c:pt idx="11">
                  <c:v>0.2029470033421131</c:v>
                </c:pt>
                <c:pt idx="12">
                  <c:v>-1.2251268957806958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60-4DA4-A944-96359203A0E3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A_I'!$D$44:$P$44</c:f>
              <c:numCache>
                <c:formatCode>General</c:formatCode>
                <c:ptCount val="13"/>
                <c:pt idx="0">
                  <c:v>5.2582828089960838</c:v>
                </c:pt>
                <c:pt idx="1">
                  <c:v>5.131424768799306</c:v>
                </c:pt>
                <c:pt idx="2">
                  <c:v>5.0223254853177952</c:v>
                </c:pt>
                <c:pt idx="3">
                  <c:v>4.8694235227379927</c:v>
                </c:pt>
                <c:pt idx="4">
                  <c:v>4.6637556009338477</c:v>
                </c:pt>
                <c:pt idx="5">
                  <c:v>4.3902657033865893</c:v>
                </c:pt>
                <c:pt idx="6">
                  <c:v>4.1993255204902677</c:v>
                </c:pt>
                <c:pt idx="7">
                  <c:v>3.9865294352533596</c:v>
                </c:pt>
                <c:pt idx="8">
                  <c:v>3.7915461787541944</c:v>
                </c:pt>
                <c:pt idx="9">
                  <c:v>3.1644497367312279</c:v>
                </c:pt>
                <c:pt idx="10">
                  <c:v>2.7813201574019604</c:v>
                </c:pt>
                <c:pt idx="11">
                  <c:v>1.5853692900512728</c:v>
                </c:pt>
                <c:pt idx="12">
                  <c:v>-0.16165565516483404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60-4DA4-A944-96359203A0E3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A_I'!$D$75:$P$75</c:f>
              <c:numCache>
                <c:formatCode>General</c:formatCode>
                <c:ptCount val="13"/>
                <c:pt idx="0">
                  <c:v>0.82866567788349987</c:v>
                </c:pt>
                <c:pt idx="1">
                  <c:v>0.82866567788349987</c:v>
                </c:pt>
                <c:pt idx="2">
                  <c:v>0.82866567788349987</c:v>
                </c:pt>
                <c:pt idx="3">
                  <c:v>0.82866567788349987</c:v>
                </c:pt>
                <c:pt idx="4">
                  <c:v>0.82866567788349976</c:v>
                </c:pt>
                <c:pt idx="5">
                  <c:v>0.8286656778614313</c:v>
                </c:pt>
                <c:pt idx="6">
                  <c:v>0.82866564505725104</c:v>
                </c:pt>
                <c:pt idx="7">
                  <c:v>0.82866127213886964</c:v>
                </c:pt>
                <c:pt idx="8">
                  <c:v>0.82861335964508342</c:v>
                </c:pt>
                <c:pt idx="9">
                  <c:v>0.82636459007663532</c:v>
                </c:pt>
                <c:pt idx="10">
                  <c:v>0.82027859788641655</c:v>
                </c:pt>
                <c:pt idx="11">
                  <c:v>0.71215009983990341</c:v>
                </c:pt>
                <c:pt idx="12">
                  <c:v>-0.75994153242705154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60-4DA4-A944-96359203A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ETR'!$BD$15</c:f>
          <c:strCache>
            <c:ptCount val="1"/>
            <c:pt idx="0">
              <c:v>Sikitita 1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ETR'!$BE$15:$BQ$15</c:f>
              <c:numCache>
                <c:formatCode>General</c:formatCode>
                <c:ptCount val="13"/>
                <c:pt idx="0">
                  <c:v>31.910879999999995</c:v>
                </c:pt>
                <c:pt idx="1">
                  <c:v>48.53422333333333</c:v>
                </c:pt>
                <c:pt idx="2">
                  <c:v>56.069366666666667</c:v>
                </c:pt>
                <c:pt idx="3">
                  <c:v>61.191906666666675</c:v>
                </c:pt>
                <c:pt idx="4">
                  <c:v>64.223819999999989</c:v>
                </c:pt>
                <c:pt idx="5">
                  <c:v>63.844376666666669</c:v>
                </c:pt>
                <c:pt idx="6">
                  <c:v>61.225750000000005</c:v>
                </c:pt>
                <c:pt idx="7">
                  <c:v>#N/A</c:v>
                </c:pt>
                <c:pt idx="8">
                  <c:v>49.673353333333331</c:v>
                </c:pt>
                <c:pt idx="9">
                  <c:v>#N/A</c:v>
                </c:pt>
                <c:pt idx="10">
                  <c:v>29.885366666666666</c:v>
                </c:pt>
                <c:pt idx="11">
                  <c:v>15.598546666666666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CB-42F6-9319-0B7EFD204F67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ETR'!$BE$46:$BQ$46</c:f>
              <c:numCache>
                <c:formatCode>General</c:formatCode>
                <c:ptCount val="13"/>
                <c:pt idx="0">
                  <c:v>20.01860781573421</c:v>
                </c:pt>
                <c:pt idx="1">
                  <c:v>29.285684519222727</c:v>
                </c:pt>
                <c:pt idx="2">
                  <c:v>35.68276879546238</c:v>
                </c:pt>
                <c:pt idx="3">
                  <c:v>39.868283182847946</c:v>
                </c:pt>
                <c:pt idx="4">
                  <c:v>43.012767459767211</c:v>
                </c:pt>
                <c:pt idx="5">
                  <c:v>45.69656333499718</c:v>
                </c:pt>
                <c:pt idx="6">
                  <c:v>#N/A</c:v>
                </c:pt>
                <c:pt idx="7">
                  <c:v>39.683999297109224</c:v>
                </c:pt>
                <c:pt idx="8">
                  <c:v>#N/A</c:v>
                </c:pt>
                <c:pt idx="9">
                  <c:v>31.841281249979147</c:v>
                </c:pt>
                <c:pt idx="10">
                  <c:v>28.246867299440368</c:v>
                </c:pt>
                <c:pt idx="11">
                  <c:v>14.827207307509127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CB-42F6-9319-0B7EFD204F67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ETR'!$BE$77:$BQ$77</c:f>
              <c:numCache>
                <c:formatCode>General</c:formatCode>
                <c:ptCount val="13"/>
                <c:pt idx="0">
                  <c:v>11.694247219149092</c:v>
                </c:pt>
                <c:pt idx="1">
                  <c:v>17.499986800226122</c:v>
                </c:pt>
                <c:pt idx="2">
                  <c:v>21.41913191198903</c:v>
                </c:pt>
                <c:pt idx="3">
                  <c:v>23.86460624254536</c:v>
                </c:pt>
                <c:pt idx="4">
                  <c:v>25.281086932133089</c:v>
                </c:pt>
                <c:pt idx="5">
                  <c:v>27.715538544855605</c:v>
                </c:pt>
                <c:pt idx="6">
                  <c:v>#N/A</c:v>
                </c:pt>
                <c:pt idx="7">
                  <c:v>28.023745863349976</c:v>
                </c:pt>
                <c:pt idx="8">
                  <c:v>#N/A</c:v>
                </c:pt>
                <c:pt idx="9">
                  <c:v>24.817293006956636</c:v>
                </c:pt>
                <c:pt idx="10">
                  <c:v>#N/A</c:v>
                </c:pt>
                <c:pt idx="11">
                  <c:v>13.800226469487772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CB-42F6-9319-0B7EFD204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247352701601955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'[2]Experimental Curves ETR'!$BD$16</c:f>
          <c:strCache>
            <c:ptCount val="1"/>
            <c:pt idx="0">
              <c:v>Sikitita 2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ETR'!$BE$16:$BQ$16</c:f>
              <c:numCache>
                <c:formatCode>General</c:formatCode>
                <c:ptCount val="13"/>
                <c:pt idx="0">
                  <c:v>57.490745000000004</c:v>
                </c:pt>
                <c:pt idx="1">
                  <c:v>76.645595</c:v>
                </c:pt>
                <c:pt idx="2">
                  <c:v>82.047199999999989</c:v>
                </c:pt>
                <c:pt idx="3">
                  <c:v>84.160444999999996</c:v>
                </c:pt>
                <c:pt idx="4">
                  <c:v>83.950199999999995</c:v>
                </c:pt>
                <c:pt idx="5">
                  <c:v>80.338349999999991</c:v>
                </c:pt>
                <c:pt idx="6">
                  <c:v>74.023409999999998</c:v>
                </c:pt>
                <c:pt idx="7">
                  <c:v>#N/A</c:v>
                </c:pt>
                <c:pt idx="8">
                  <c:v>55.680415000000004</c:v>
                </c:pt>
                <c:pt idx="9">
                  <c:v>#N/A</c:v>
                </c:pt>
                <c:pt idx="10">
                  <c:v>30.720215</c:v>
                </c:pt>
                <c:pt idx="11">
                  <c:v>15.753414999999999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EB-46EA-BD53-70DDFE989E4E}"/>
            </c:ext>
          </c:extLst>
        </c:ser>
        <c:ser>
          <c:idx val="1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ETR'!$BE$47:$BQ$47</c:f>
              <c:numCache>
                <c:formatCode>General</c:formatCode>
                <c:ptCount val="13"/>
                <c:pt idx="0">
                  <c:v>13.225038377870131</c:v>
                </c:pt>
                <c:pt idx="1">
                  <c:v>20.140419302182142</c:v>
                </c:pt>
                <c:pt idx="2">
                  <c:v>23.527996031127</c:v>
                </c:pt>
                <c:pt idx="3">
                  <c:v>25.108925719161032</c:v>
                </c:pt>
                <c:pt idx="4">
                  <c:v>27.178735538751635</c:v>
                </c:pt>
                <c:pt idx="5">
                  <c:v>29.086443274299789</c:v>
                </c:pt>
                <c:pt idx="6">
                  <c:v>#N/A</c:v>
                </c:pt>
                <c:pt idx="7">
                  <c:v>29.891436775945195</c:v>
                </c:pt>
                <c:pt idx="8">
                  <c:v>#N/A</c:v>
                </c:pt>
                <c:pt idx="9">
                  <c:v>25.26934632214369</c:v>
                </c:pt>
                <c:pt idx="10">
                  <c:v>#N/A</c:v>
                </c:pt>
                <c:pt idx="11">
                  <c:v>13.507040520228511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EB-46EA-BD53-70DDFE989E4E}"/>
            </c:ext>
          </c:extLst>
        </c:ser>
        <c:ser>
          <c:idx val="2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ETR'!$BE$78:$BQ$78</c:f>
              <c:numCache>
                <c:formatCode>General</c:formatCode>
                <c:ptCount val="13"/>
                <c:pt idx="0">
                  <c:v>15.173885359164462</c:v>
                </c:pt>
                <c:pt idx="1">
                  <c:v>22.515035498768398</c:v>
                </c:pt>
                <c:pt idx="2">
                  <c:v>25.647070466761466</c:v>
                </c:pt>
                <c:pt idx="3">
                  <c:v>28.981061602788827</c:v>
                </c:pt>
                <c:pt idx="4">
                  <c:v>30.46685783401195</c:v>
                </c:pt>
                <c:pt idx="5">
                  <c:v>32.205287930615711</c:v>
                </c:pt>
                <c:pt idx="6">
                  <c:v>#N/A</c:v>
                </c:pt>
                <c:pt idx="7">
                  <c:v>31.913770833370691</c:v>
                </c:pt>
                <c:pt idx="8">
                  <c:v>#N/A</c:v>
                </c:pt>
                <c:pt idx="9">
                  <c:v>26.88316089070619</c:v>
                </c:pt>
                <c:pt idx="10">
                  <c:v>#N/A</c:v>
                </c:pt>
                <c:pt idx="11">
                  <c:v>14.089113785288719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EB-46EA-BD53-70DDFE989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ETR'!$C$8</c:f>
          <c:strCache>
            <c:ptCount val="1"/>
            <c:pt idx="0">
              <c:v>Arbosana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ETR'!$BE$4:$BQ$4</c:f>
              <c:numCache>
                <c:formatCode>General</c:formatCode>
                <c:ptCount val="13"/>
                <c:pt idx="0">
                  <c:v>26.275294694447354</c:v>
                </c:pt>
                <c:pt idx="1">
                  <c:v>39.521786376058266</c:v>
                </c:pt>
                <c:pt idx="2">
                  <c:v>46.771119746150234</c:v>
                </c:pt>
                <c:pt idx="3">
                  <c:v>51.14308557397748</c:v>
                </c:pt>
                <c:pt idx="4">
                  <c:v>53.493391619403837</c:v>
                </c:pt>
                <c:pt idx="5">
                  <c:v>53.403404884806143</c:v>
                </c:pt>
                <c:pt idx="6">
                  <c:v>50.692132105116009</c:v>
                </c:pt>
                <c:pt idx="7">
                  <c:v>#N/A</c:v>
                </c:pt>
                <c:pt idx="8">
                  <c:v>42.280686367768475</c:v>
                </c:pt>
                <c:pt idx="9">
                  <c:v>#N/A</c:v>
                </c:pt>
                <c:pt idx="10">
                  <c:v>27.717289071994266</c:v>
                </c:pt>
                <c:pt idx="11">
                  <c:v>15.173968813632117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AA-443F-80DA-48AF1C39FA6F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ETR'!$BE$35:$BQ$35</c:f>
              <c:numCache>
                <c:formatCode>General</c:formatCode>
                <c:ptCount val="13"/>
                <c:pt idx="0">
                  <c:v>14.285781490423503</c:v>
                </c:pt>
                <c:pt idx="1">
                  <c:v>21.533533494908596</c:v>
                </c:pt>
                <c:pt idx="2">
                  <c:v>24.897974027003183</c:v>
                </c:pt>
                <c:pt idx="3">
                  <c:v>27.957299220560429</c:v>
                </c:pt>
                <c:pt idx="4">
                  <c:v>30.60037024441781</c:v>
                </c:pt>
                <c:pt idx="5">
                  <c:v>32.4236900283328</c:v>
                </c:pt>
                <c:pt idx="6">
                  <c:v>#N/A</c:v>
                </c:pt>
                <c:pt idx="7">
                  <c:v>30.742566559151939</c:v>
                </c:pt>
                <c:pt idx="8">
                  <c:v>32.579979999999999</c:v>
                </c:pt>
                <c:pt idx="9">
                  <c:v>25.705634756454632</c:v>
                </c:pt>
                <c:pt idx="10">
                  <c:v>#N/A</c:v>
                </c:pt>
                <c:pt idx="11">
                  <c:v>14.034476825274149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AA-443F-80DA-48AF1C39FA6F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ETR'!$BE$66:$BQ$66</c:f>
              <c:numCache>
                <c:formatCode>General</c:formatCode>
                <c:ptCount val="13"/>
                <c:pt idx="0">
                  <c:v>13.745593379497235</c:v>
                </c:pt>
                <c:pt idx="1">
                  <c:v>19.274910264766593</c:v>
                </c:pt>
                <c:pt idx="2">
                  <c:v>21.920178136724775</c:v>
                </c:pt>
                <c:pt idx="3">
                  <c:v>23.798144742736255</c:v>
                </c:pt>
                <c:pt idx="4">
                  <c:v>26.459725596151369</c:v>
                </c:pt>
                <c:pt idx="5">
                  <c:v>27.724867561156508</c:v>
                </c:pt>
                <c:pt idx="6">
                  <c:v>#N/A</c:v>
                </c:pt>
                <c:pt idx="7">
                  <c:v>26.85374244696883</c:v>
                </c:pt>
                <c:pt idx="8">
                  <c:v>#N/A</c:v>
                </c:pt>
                <c:pt idx="9">
                  <c:v>23.071902990284645</c:v>
                </c:pt>
                <c:pt idx="10">
                  <c:v>#N/A</c:v>
                </c:pt>
                <c:pt idx="11">
                  <c:v>13.540166098646582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AA-443F-80DA-48AF1C39FA6F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ETR'!$D$8:$P$8</c:f>
              <c:numCache>
                <c:formatCode>General</c:formatCode>
                <c:ptCount val="13"/>
                <c:pt idx="0">
                  <c:v>60.138928958128069</c:v>
                </c:pt>
                <c:pt idx="1">
                  <c:v>60.13884708672007</c:v>
                </c:pt>
                <c:pt idx="2">
                  <c:v>60.138131801334389</c:v>
                </c:pt>
                <c:pt idx="3">
                  <c:v>60.131142899737625</c:v>
                </c:pt>
                <c:pt idx="4">
                  <c:v>60.061624754082366</c:v>
                </c:pt>
                <c:pt idx="5">
                  <c:v>59.352584754737613</c:v>
                </c:pt>
                <c:pt idx="6">
                  <c:v>56.945538512621404</c:v>
                </c:pt>
                <c:pt idx="7">
                  <c:v>52.066467815800927</c:v>
                </c:pt>
                <c:pt idx="8">
                  <c:v>47.419085840206463</c:v>
                </c:pt>
                <c:pt idx="9">
                  <c:v>35.647209455350072</c:v>
                </c:pt>
                <c:pt idx="10">
                  <c:v>30.047002469076013</c:v>
                </c:pt>
                <c:pt idx="11">
                  <c:v>16.135521046169178</c:v>
                </c:pt>
                <c:pt idx="12">
                  <c:v>-0.38179182814168205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AA-443F-80DA-48AF1C39FA6F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ETR'!$D$39:$P$39</c:f>
              <c:numCache>
                <c:formatCode>General</c:formatCode>
                <c:ptCount val="13"/>
                <c:pt idx="0">
                  <c:v>34.246934958297715</c:v>
                </c:pt>
                <c:pt idx="1">
                  <c:v>34.246934957596011</c:v>
                </c:pt>
                <c:pt idx="2">
                  <c:v>34.246934918263129</c:v>
                </c:pt>
                <c:pt idx="3">
                  <c:v>34.246932591377451</c:v>
                </c:pt>
                <c:pt idx="4">
                  <c:v>34.246787357002475</c:v>
                </c:pt>
                <c:pt idx="5">
                  <c:v>34.236960176557027</c:v>
                </c:pt>
                <c:pt idx="6">
                  <c:v>34.115188057444954</c:v>
                </c:pt>
                <c:pt idx="7">
                  <c:v>33.495460242688765</c:v>
                </c:pt>
                <c:pt idx="8">
                  <c:v>32.454413078160798</c:v>
                </c:pt>
                <c:pt idx="9">
                  <c:v>27.862131946121679</c:v>
                </c:pt>
                <c:pt idx="10">
                  <c:v>24.721740851433029</c:v>
                </c:pt>
                <c:pt idx="11">
                  <c:v>14.59816262824577</c:v>
                </c:pt>
                <c:pt idx="12">
                  <c:v>-0.2124395546920515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9AA-443F-80DA-48AF1C39FA6F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ETR'!$D$70:$P$70</c:f>
              <c:numCache>
                <c:formatCode>General</c:formatCode>
                <c:ptCount val="13"/>
                <c:pt idx="0">
                  <c:v>28.375354334070593</c:v>
                </c:pt>
                <c:pt idx="1">
                  <c:v>28.375354334025392</c:v>
                </c:pt>
                <c:pt idx="2">
                  <c:v>28.375354330085418</c:v>
                </c:pt>
                <c:pt idx="3">
                  <c:v>28.375353975668261</c:v>
                </c:pt>
                <c:pt idx="4">
                  <c:v>28.375321015994921</c:v>
                </c:pt>
                <c:pt idx="5">
                  <c:v>28.372068652265412</c:v>
                </c:pt>
                <c:pt idx="6">
                  <c:v>28.321004611127741</c:v>
                </c:pt>
                <c:pt idx="7">
                  <c:v>28.010962407548277</c:v>
                </c:pt>
                <c:pt idx="8">
                  <c:v>27.424274376955612</c:v>
                </c:pt>
                <c:pt idx="9">
                  <c:v>24.415817663370898</c:v>
                </c:pt>
                <c:pt idx="10">
                  <c:v>22.109546024391658</c:v>
                </c:pt>
                <c:pt idx="11">
                  <c:v>13.759007729715245</c:v>
                </c:pt>
                <c:pt idx="12">
                  <c:v>7.2725730222016671E-2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9AA-443F-80DA-48AF1C39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ETR'!$C$9</c:f>
          <c:strCache>
            <c:ptCount val="1"/>
            <c:pt idx="0">
              <c:v>Cornicabra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ETR'!$BE$5:$BQ$5</c:f>
              <c:numCache>
                <c:formatCode>General</c:formatCode>
                <c:ptCount val="13"/>
                <c:pt idx="0">
                  <c:v>33.659670000000006</c:v>
                </c:pt>
                <c:pt idx="1">
                  <c:v>43.328440000000001</c:v>
                </c:pt>
                <c:pt idx="2">
                  <c:v>49.275325000000002</c:v>
                </c:pt>
                <c:pt idx="3">
                  <c:v>52.826734999999999</c:v>
                </c:pt>
                <c:pt idx="4">
                  <c:v>53.993299999999998</c:v>
                </c:pt>
                <c:pt idx="5">
                  <c:v>53.403480000000002</c:v>
                </c:pt>
                <c:pt idx="6">
                  <c:v>51.896530000000006</c:v>
                </c:pt>
                <c:pt idx="7">
                  <c:v>#N/A</c:v>
                </c:pt>
                <c:pt idx="8">
                  <c:v>44.800260000000009</c:v>
                </c:pt>
                <c:pt idx="9">
                  <c:v>#N/A</c:v>
                </c:pt>
                <c:pt idx="10">
                  <c:v>28.563965</c:v>
                </c:pt>
                <c:pt idx="11">
                  <c:v>15.166404999999999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DE-4FD3-92A9-641A2E18D241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ETR'!$BE$36:$BQ$36</c:f>
              <c:numCache>
                <c:formatCode>General</c:formatCode>
                <c:ptCount val="13"/>
                <c:pt idx="0">
                  <c:v>38.322990104142576</c:v>
                </c:pt>
                <c:pt idx="1">
                  <c:v>52.399385777819376</c:v>
                </c:pt>
                <c:pt idx="2">
                  <c:v>59.925966306890807</c:v>
                </c:pt>
                <c:pt idx="3">
                  <c:v>63.88958444853052</c:v>
                </c:pt>
                <c:pt idx="4">
                  <c:v>65.897672725782868</c:v>
                </c:pt>
                <c:pt idx="5">
                  <c:v>64.735022420383601</c:v>
                </c:pt>
                <c:pt idx="6">
                  <c:v>#N/A</c:v>
                </c:pt>
                <c:pt idx="7">
                  <c:v>53.763800977356425</c:v>
                </c:pt>
                <c:pt idx="8">
                  <c:v>#N/A</c:v>
                </c:pt>
                <c:pt idx="9">
                  <c:v>34.184746942630973</c:v>
                </c:pt>
                <c:pt idx="10">
                  <c:v>#N/A</c:v>
                </c:pt>
                <c:pt idx="11">
                  <c:v>14.796799129019506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DE-4FD3-92A9-641A2E18D241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ETR'!$BE$67:$BQ$67</c:f>
              <c:numCache>
                <c:formatCode>General</c:formatCode>
                <c:ptCount val="13"/>
                <c:pt idx="0">
                  <c:v>32.317739035290757</c:v>
                </c:pt>
                <c:pt idx="1">
                  <c:v>47.046127006789959</c:v>
                </c:pt>
                <c:pt idx="2">
                  <c:v>54.298171080477211</c:v>
                </c:pt>
                <c:pt idx="3">
                  <c:v>59.414402260117917</c:v>
                </c:pt>
                <c:pt idx="4">
                  <c:v>61.946133008606751</c:v>
                </c:pt>
                <c:pt idx="5">
                  <c:v>63.488086205736018</c:v>
                </c:pt>
                <c:pt idx="6">
                  <c:v>#N/A</c:v>
                </c:pt>
                <c:pt idx="7">
                  <c:v>55.49936015644483</c:v>
                </c:pt>
                <c:pt idx="8">
                  <c:v>#N/A</c:v>
                </c:pt>
                <c:pt idx="9">
                  <c:v>35.402331568579406</c:v>
                </c:pt>
                <c:pt idx="10">
                  <c:v>#N/A</c:v>
                </c:pt>
                <c:pt idx="11">
                  <c:v>15.175083150327152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DE-4FD3-92A9-641A2E18D241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ETR'!$D$9:$P$9</c:f>
              <c:numCache>
                <c:formatCode>General</c:formatCode>
                <c:ptCount val="13"/>
                <c:pt idx="0">
                  <c:v>53.33250829248837</c:v>
                </c:pt>
                <c:pt idx="1">
                  <c:v>53.332503296452131</c:v>
                </c:pt>
                <c:pt idx="2">
                  <c:v>53.332431876346618</c:v>
                </c:pt>
                <c:pt idx="3">
                  <c:v>53.331339565334382</c:v>
                </c:pt>
                <c:pt idx="4">
                  <c:v>53.314439603655977</c:v>
                </c:pt>
                <c:pt idx="5">
                  <c:v>53.044764235938203</c:v>
                </c:pt>
                <c:pt idx="6">
                  <c:v>51.781503032363503</c:v>
                </c:pt>
                <c:pt idx="7">
                  <c:v>48.553575375610045</c:v>
                </c:pt>
                <c:pt idx="8">
                  <c:v>45.012480242431167</c:v>
                </c:pt>
                <c:pt idx="9">
                  <c:v>34.868655156683367</c:v>
                </c:pt>
                <c:pt idx="10">
                  <c:v>29.6649353486537</c:v>
                </c:pt>
                <c:pt idx="11">
                  <c:v>16.146960388420524</c:v>
                </c:pt>
                <c:pt idx="12">
                  <c:v>-0.43047121780678493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DE-4FD3-92A9-641A2E18D241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ETR'!$D$40:$P$40</c:f>
              <c:numCache>
                <c:formatCode>General</c:formatCode>
                <c:ptCount val="13"/>
                <c:pt idx="0">
                  <c:v>61.908258135502784</c:v>
                </c:pt>
                <c:pt idx="1">
                  <c:v>63.67569203205332</c:v>
                </c:pt>
                <c:pt idx="2">
                  <c:v>63.669896939016034</c:v>
                </c:pt>
                <c:pt idx="3">
                  <c:v>63.63625471710926</c:v>
                </c:pt>
                <c:pt idx="4">
                  <c:v>63.430332317912807</c:v>
                </c:pt>
                <c:pt idx="5">
                  <c:v>62.075437492122397</c:v>
                </c:pt>
                <c:pt idx="6">
                  <c:v>58.580220499867842</c:v>
                </c:pt>
                <c:pt idx="7">
                  <c:v>52.573818864161026</c:v>
                </c:pt>
                <c:pt idx="8">
                  <c:v>47.338233510166141</c:v>
                </c:pt>
                <c:pt idx="9">
                  <c:v>34.964695951234567</c:v>
                </c:pt>
                <c:pt idx="10">
                  <c:v>29.317469448129899</c:v>
                </c:pt>
                <c:pt idx="11">
                  <c:v>15.614139292404429</c:v>
                </c:pt>
                <c:pt idx="12">
                  <c:v>-0.38928749866926826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DE-4FD3-92A9-641A2E18D241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ETR'!$D$71:$P$71</c:f>
              <c:numCache>
                <c:formatCode>General</c:formatCode>
                <c:ptCount val="13"/>
                <c:pt idx="0">
                  <c:v>64.061703170934678</c:v>
                </c:pt>
                <c:pt idx="1">
                  <c:v>64.061636657541953</c:v>
                </c:pt>
                <c:pt idx="2">
                  <c:v>64.060997469625917</c:v>
                </c:pt>
                <c:pt idx="3">
                  <c:v>64.054223108579876</c:v>
                </c:pt>
                <c:pt idx="4">
                  <c:v>63.981575615291909</c:v>
                </c:pt>
                <c:pt idx="5">
                  <c:v>63.188488390827182</c:v>
                </c:pt>
                <c:pt idx="6">
                  <c:v>60.397582189850247</c:v>
                </c:pt>
                <c:pt idx="7">
                  <c:v>54.704282499402559</c:v>
                </c:pt>
                <c:pt idx="8">
                  <c:v>49.352213546576557</c:v>
                </c:pt>
                <c:pt idx="9">
                  <c:v>36.266202922396054</c:v>
                </c:pt>
                <c:pt idx="10">
                  <c:v>30.278181362246713</c:v>
                </c:pt>
                <c:pt idx="11">
                  <c:v>15.931884731840352</c:v>
                </c:pt>
                <c:pt idx="12">
                  <c:v>-0.53111314898928486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DE-4FD3-92A9-641A2E18D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40456149877817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ETR'!$C$10</c:f>
          <c:strCache>
            <c:ptCount val="1"/>
            <c:pt idx="0">
              <c:v>Chemlali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ETR'!$BE$6:$BQ$6</c:f>
              <c:numCache>
                <c:formatCode>General</c:formatCode>
                <c:ptCount val="13"/>
                <c:pt idx="0">
                  <c:v>53.483053032734517</c:v>
                </c:pt>
                <c:pt idx="1">
                  <c:v>64.417796706060898</c:v>
                </c:pt>
                <c:pt idx="2">
                  <c:v>70.117160284794807</c:v>
                </c:pt>
                <c:pt idx="3">
                  <c:v>73.253160874727371</c:v>
                </c:pt>
                <c:pt idx="4">
                  <c:v>74.719449442425812</c:v>
                </c:pt>
                <c:pt idx="5">
                  <c:v>72.908737367215622</c:v>
                </c:pt>
                <c:pt idx="6">
                  <c:v>66.875825458835664</c:v>
                </c:pt>
                <c:pt idx="7">
                  <c:v>#N/A</c:v>
                </c:pt>
                <c:pt idx="8">
                  <c:v>50.557094193285614</c:v>
                </c:pt>
                <c:pt idx="9">
                  <c:v>#N/A</c:v>
                </c:pt>
                <c:pt idx="10">
                  <c:v>28.936801786625377</c:v>
                </c:pt>
                <c:pt idx="11">
                  <c:v>15.105551930419738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B2-48FC-AC01-5D911BE0C3D1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ETR'!$BE$37:$BQ$37</c:f>
              <c:numCache>
                <c:formatCode>General</c:formatCode>
                <c:ptCount val="13"/>
                <c:pt idx="0">
                  <c:v>17.826793805305861</c:v>
                </c:pt>
                <c:pt idx="1">
                  <c:v>24.407677422070222</c:v>
                </c:pt>
                <c:pt idx="2">
                  <c:v>25.960865048271746</c:v>
                </c:pt>
                <c:pt idx="3">
                  <c:v>27.645095556947098</c:v>
                </c:pt>
                <c:pt idx="4">
                  <c:v>28.956399822551372</c:v>
                </c:pt>
                <c:pt idx="5">
                  <c:v>29.931035813633383</c:v>
                </c:pt>
                <c:pt idx="6">
                  <c:v>#N/A</c:v>
                </c:pt>
                <c:pt idx="7">
                  <c:v>29.515040696499923</c:v>
                </c:pt>
                <c:pt idx="8">
                  <c:v>#N/A</c:v>
                </c:pt>
                <c:pt idx="9">
                  <c:v>25.81883087934504</c:v>
                </c:pt>
                <c:pt idx="10">
                  <c:v>#N/A</c:v>
                </c:pt>
                <c:pt idx="11">
                  <c:v>13.229531802740278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B2-48FC-AC01-5D911BE0C3D1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ETR'!$BE$68:$BQ$68</c:f>
              <c:numCache>
                <c:formatCode>General</c:formatCode>
                <c:ptCount val="13"/>
                <c:pt idx="0">
                  <c:v>15.378243409881007</c:v>
                </c:pt>
                <c:pt idx="1">
                  <c:v>20.639916499404997</c:v>
                </c:pt>
                <c:pt idx="2">
                  <c:v>22.786106499426737</c:v>
                </c:pt>
                <c:pt idx="3">
                  <c:v>25.081632553873821</c:v>
                </c:pt>
                <c:pt idx="4">
                  <c:v>26.518241369248578</c:v>
                </c:pt>
                <c:pt idx="5">
                  <c:v>27.579312186731041</c:v>
                </c:pt>
                <c:pt idx="6">
                  <c:v>#N/A</c:v>
                </c:pt>
                <c:pt idx="7">
                  <c:v>27.496889175768345</c:v>
                </c:pt>
                <c:pt idx="8">
                  <c:v>#N/A</c:v>
                </c:pt>
                <c:pt idx="9">
                  <c:v>24.464968185108713</c:v>
                </c:pt>
                <c:pt idx="10">
                  <c:v>#N/A</c:v>
                </c:pt>
                <c:pt idx="11">
                  <c:v>12.62760656522034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B2-48FC-AC01-5D911BE0C3D1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ETR'!$D$10:$P$10</c:f>
              <c:numCache>
                <c:formatCode>General</c:formatCode>
                <c:ptCount val="13"/>
                <c:pt idx="0">
                  <c:v>87.69297210372909</c:v>
                </c:pt>
                <c:pt idx="1">
                  <c:v>87.689634092209744</c:v>
                </c:pt>
                <c:pt idx="2">
                  <c:v>87.673591698189526</c:v>
                </c:pt>
                <c:pt idx="3">
                  <c:v>87.580491061052982</c:v>
                </c:pt>
                <c:pt idx="4">
                  <c:v>87.02558328405344</c:v>
                </c:pt>
                <c:pt idx="5">
                  <c:v>83.664323444240452</c:v>
                </c:pt>
                <c:pt idx="6">
                  <c:v>76.018129735167008</c:v>
                </c:pt>
                <c:pt idx="7">
                  <c:v>64.689959581604043</c:v>
                </c:pt>
                <c:pt idx="8">
                  <c:v>56.01565418911099</c:v>
                </c:pt>
                <c:pt idx="9">
                  <c:v>38.402465032648706</c:v>
                </c:pt>
                <c:pt idx="10">
                  <c:v>31.310683477262625</c:v>
                </c:pt>
                <c:pt idx="11">
                  <c:v>15.635775820675903</c:v>
                </c:pt>
                <c:pt idx="12">
                  <c:v>-1.2443149599283307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B2-48FC-AC01-5D911BE0C3D1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ETR'!$D$41:$P$41</c:f>
              <c:numCache>
                <c:formatCode>General</c:formatCode>
                <c:ptCount val="13"/>
                <c:pt idx="0">
                  <c:v>29.682697590114092</c:v>
                </c:pt>
                <c:pt idx="1">
                  <c:v>29.682697590076796</c:v>
                </c:pt>
                <c:pt idx="2">
                  <c:v>29.682697586402004</c:v>
                </c:pt>
                <c:pt idx="3">
                  <c:v>29.682697220049548</c:v>
                </c:pt>
                <c:pt idx="4">
                  <c:v>29.682660455640917</c:v>
                </c:pt>
                <c:pt idx="5">
                  <c:v>29.678880916005198</c:v>
                </c:pt>
                <c:pt idx="6">
                  <c:v>29.619248486046548</c:v>
                </c:pt>
                <c:pt idx="7">
                  <c:v>29.260349177244436</c:v>
                </c:pt>
                <c:pt idx="8">
                  <c:v>28.589361415247961</c:v>
                </c:pt>
                <c:pt idx="9">
                  <c:v>25.227978800705973</c:v>
                </c:pt>
                <c:pt idx="10">
                  <c:v>22.707732096917386</c:v>
                </c:pt>
                <c:pt idx="11">
                  <c:v>13.838626312464351</c:v>
                </c:pt>
                <c:pt idx="12">
                  <c:v>-0.23691515717986425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1B2-48FC-AC01-5D911BE0C3D1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ETR'!$D$72:$P$72</c:f>
              <c:numCache>
                <c:formatCode>General</c:formatCode>
                <c:ptCount val="13"/>
                <c:pt idx="0">
                  <c:v>23.269469426437944</c:v>
                </c:pt>
                <c:pt idx="1">
                  <c:v>23.269469426437325</c:v>
                </c:pt>
                <c:pt idx="2">
                  <c:v>23.269469426341583</c:v>
                </c:pt>
                <c:pt idx="3">
                  <c:v>23.269469410880156</c:v>
                </c:pt>
                <c:pt idx="4">
                  <c:v>23.269466748266076</c:v>
                </c:pt>
                <c:pt idx="5">
                  <c:v>23.268945522309632</c:v>
                </c:pt>
                <c:pt idx="6">
                  <c:v>23.255758536959082</c:v>
                </c:pt>
                <c:pt idx="7">
                  <c:v>23.14194260848226</c:v>
                </c:pt>
                <c:pt idx="8">
                  <c:v>22.874408055134694</c:v>
                </c:pt>
                <c:pt idx="9">
                  <c:v>21.113525340815038</c:v>
                </c:pt>
                <c:pt idx="10">
                  <c:v>19.521945785225565</c:v>
                </c:pt>
                <c:pt idx="11">
                  <c:v>12.753654443112271</c:v>
                </c:pt>
                <c:pt idx="12">
                  <c:v>-0.17806861983607039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1B2-48FC-AC01-5D911BE0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ETR'!$C$11</c:f>
          <c:strCache>
            <c:ptCount val="1"/>
            <c:pt idx="0">
              <c:v>Cornezuelo de Jaén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ETR'!$BE$7:$BQ$7</c:f>
              <c:numCache>
                <c:formatCode>General</c:formatCode>
                <c:ptCount val="13"/>
                <c:pt idx="0">
                  <c:v>25.819029999999998</c:v>
                </c:pt>
                <c:pt idx="1">
                  <c:v>30.853603333333332</c:v>
                </c:pt>
                <c:pt idx="2">
                  <c:v>34.031530000000004</c:v>
                </c:pt>
                <c:pt idx="3">
                  <c:v>37.097183333333334</c:v>
                </c:pt>
                <c:pt idx="4">
                  <c:v>38.851973333333333</c:v>
                </c:pt>
                <c:pt idx="5">
                  <c:v>39.240366666666667</c:v>
                </c:pt>
                <c:pt idx="6">
                  <c:v>38.286943333333333</c:v>
                </c:pt>
                <c:pt idx="7">
                  <c:v>#N/A</c:v>
                </c:pt>
                <c:pt idx="8">
                  <c:v>34.31941333333333</c:v>
                </c:pt>
                <c:pt idx="9">
                  <c:v>#N/A</c:v>
                </c:pt>
                <c:pt idx="10">
                  <c:v>24.897273333333338</c:v>
                </c:pt>
                <c:pt idx="11">
                  <c:v>14.156396666666668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D6-42EE-8579-2F799E0D66A9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ETR'!$BE$38:$BQ$38</c:f>
              <c:numCache>
                <c:formatCode>General</c:formatCode>
                <c:ptCount val="13"/>
                <c:pt idx="0">
                  <c:v>16.422940755191494</c:v>
                </c:pt>
                <c:pt idx="1">
                  <c:v>21.062129159418681</c:v>
                </c:pt>
                <c:pt idx="2">
                  <c:v>24.07049067977923</c:v>
                </c:pt>
                <c:pt idx="3">
                  <c:v>26.755319732922079</c:v>
                </c:pt>
                <c:pt idx="4">
                  <c:v>29.342838478514512</c:v>
                </c:pt>
                <c:pt idx="5">
                  <c:v>31.422020861640874</c:v>
                </c:pt>
                <c:pt idx="6">
                  <c:v>#N/A</c:v>
                </c:pt>
                <c:pt idx="7">
                  <c:v>31.514223073601983</c:v>
                </c:pt>
                <c:pt idx="8">
                  <c:v>#N/A</c:v>
                </c:pt>
                <c:pt idx="9">
                  <c:v>27.692063417787779</c:v>
                </c:pt>
                <c:pt idx="10">
                  <c:v>#N/A</c:v>
                </c:pt>
                <c:pt idx="11">
                  <c:v>14.257543748302638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D6-42EE-8579-2F799E0D66A9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ETR'!$BE$69:$BQ$69</c:f>
              <c:numCache>
                <c:formatCode>General</c:formatCode>
                <c:ptCount val="13"/>
                <c:pt idx="0">
                  <c:v>4.441173238375832</c:v>
                </c:pt>
                <c:pt idx="1">
                  <c:v>8.4342997603387975</c:v>
                </c:pt>
                <c:pt idx="2">
                  <c:v>10.698415740138334</c:v>
                </c:pt>
                <c:pt idx="3">
                  <c:v>11.493258762699536</c:v>
                </c:pt>
                <c:pt idx="4">
                  <c:v>12.581736610350468</c:v>
                </c:pt>
                <c:pt idx="5">
                  <c:v>13.307646609231098</c:v>
                </c:pt>
                <c:pt idx="6">
                  <c:v>#N/A</c:v>
                </c:pt>
                <c:pt idx="7">
                  <c:v>14.105352161308938</c:v>
                </c:pt>
                <c:pt idx="8">
                  <c:v>#N/A</c:v>
                </c:pt>
                <c:pt idx="9">
                  <c:v>13.586619487947733</c:v>
                </c:pt>
                <c:pt idx="10">
                  <c:v>#N/A</c:v>
                </c:pt>
                <c:pt idx="11">
                  <c:v>9.3547422698794929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D6-42EE-8579-2F799E0D66A9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ETR'!$D$11:$P$11</c:f>
              <c:numCache>
                <c:formatCode>General</c:formatCode>
                <c:ptCount val="13"/>
                <c:pt idx="0">
                  <c:v>35.085800210792065</c:v>
                </c:pt>
                <c:pt idx="1">
                  <c:v>35.08580007012533</c:v>
                </c:pt>
                <c:pt idx="2">
                  <c:v>35.085796692375212</c:v>
                </c:pt>
                <c:pt idx="3">
                  <c:v>35.085712278326483</c:v>
                </c:pt>
                <c:pt idx="4">
                  <c:v>35.083595500850436</c:v>
                </c:pt>
                <c:pt idx="5">
                  <c:v>35.029649833401272</c:v>
                </c:pt>
                <c:pt idx="6">
                  <c:v>34.684472521414932</c:v>
                </c:pt>
                <c:pt idx="7">
                  <c:v>33.5674831529833</c:v>
                </c:pt>
                <c:pt idx="8">
                  <c:v>32.115207004706349</c:v>
                </c:pt>
                <c:pt idx="9">
                  <c:v>26.965150223153294</c:v>
                </c:pt>
                <c:pt idx="10">
                  <c:v>23.797442461803023</c:v>
                </c:pt>
                <c:pt idx="11">
                  <c:v>13.999318786612628</c:v>
                </c:pt>
                <c:pt idx="12">
                  <c:v>-0.27272233317121353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D6-42EE-8579-2F799E0D66A9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ETR'!$D$42:$P$42</c:f>
              <c:numCache>
                <c:formatCode>General</c:formatCode>
                <c:ptCount val="13"/>
                <c:pt idx="0">
                  <c:v>29.59115072402718</c:v>
                </c:pt>
                <c:pt idx="1">
                  <c:v>29.591150723946932</c:v>
                </c:pt>
                <c:pt idx="2">
                  <c:v>29.591150718382039</c:v>
                </c:pt>
                <c:pt idx="3">
                  <c:v>29.591150315090538</c:v>
                </c:pt>
                <c:pt idx="4">
                  <c:v>29.591119221175422</c:v>
                </c:pt>
                <c:pt idx="5">
                  <c:v>29.588390380958185</c:v>
                </c:pt>
                <c:pt idx="6">
                  <c:v>29.546029122066408</c:v>
                </c:pt>
                <c:pt idx="7">
                  <c:v>29.281245605537276</c:v>
                </c:pt>
                <c:pt idx="8">
                  <c:v>28.763546822922528</c:v>
                </c:pt>
                <c:pt idx="9">
                  <c:v>25.964520865665769</c:v>
                </c:pt>
                <c:pt idx="10">
                  <c:v>23.719101416539413</c:v>
                </c:pt>
                <c:pt idx="11">
                  <c:v>15.084933598319248</c:v>
                </c:pt>
                <c:pt idx="12">
                  <c:v>-0.29639650292495823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3D6-42EE-8579-2F799E0D66A9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ETR'!$D$73:$P$73</c:f>
              <c:numCache>
                <c:formatCode>General</c:formatCode>
                <c:ptCount val="13"/>
                <c:pt idx="0">
                  <c:v>13.931871257228403</c:v>
                </c:pt>
                <c:pt idx="1">
                  <c:v>13.931871257228403</c:v>
                </c:pt>
                <c:pt idx="2">
                  <c:v>13.931871257228398</c:v>
                </c:pt>
                <c:pt idx="3">
                  <c:v>13.931871257223492</c:v>
                </c:pt>
                <c:pt idx="4">
                  <c:v>13.931871250822175</c:v>
                </c:pt>
                <c:pt idx="5">
                  <c:v>13.931862835887731</c:v>
                </c:pt>
                <c:pt idx="6">
                  <c:v>13.931234099260593</c:v>
                </c:pt>
                <c:pt idx="7">
                  <c:v>13.920212962320642</c:v>
                </c:pt>
                <c:pt idx="8">
                  <c:v>13.881362725956208</c:v>
                </c:pt>
                <c:pt idx="9">
                  <c:v>13.467534356379057</c:v>
                </c:pt>
                <c:pt idx="10">
                  <c:v>12.958205551916217</c:v>
                </c:pt>
                <c:pt idx="11">
                  <c:v>9.7910612806759723</c:v>
                </c:pt>
                <c:pt idx="12">
                  <c:v>-3.5308316372618158E-2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3D6-42EE-8579-2F799E0D6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ETR'!$C$12</c:f>
          <c:strCache>
            <c:ptCount val="1"/>
            <c:pt idx="0">
              <c:v>Empeltre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ETR'!$BE$8:$BQ$8</c:f>
              <c:numCache>
                <c:formatCode>General</c:formatCode>
                <c:ptCount val="13"/>
                <c:pt idx="0">
                  <c:v>65.055353333333343</c:v>
                </c:pt>
                <c:pt idx="1">
                  <c:v>82.64246</c:v>
                </c:pt>
                <c:pt idx="2">
                  <c:v>91.239429999999984</c:v>
                </c:pt>
                <c:pt idx="3">
                  <c:v>96.14527333333335</c:v>
                </c:pt>
                <c:pt idx="4">
                  <c:v>98.970520000000008</c:v>
                </c:pt>
                <c:pt idx="5">
                  <c:v>93.079736666666648</c:v>
                </c:pt>
                <c:pt idx="6">
                  <c:v>80.219793333333328</c:v>
                </c:pt>
                <c:pt idx="7">
                  <c:v>#N/A</c:v>
                </c:pt>
                <c:pt idx="8">
                  <c:v>55.811026666666663</c:v>
                </c:pt>
                <c:pt idx="9">
                  <c:v>#N/A</c:v>
                </c:pt>
                <c:pt idx="10">
                  <c:v>30.380219999999998</c:v>
                </c:pt>
                <c:pt idx="11">
                  <c:v>15.61556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11-4881-A4F5-46C41F8B5BA7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ETR'!$BE$39:$BQ$39</c:f>
              <c:numCache>
                <c:formatCode>General</c:formatCode>
                <c:ptCount val="13"/>
                <c:pt idx="0">
                  <c:v>34.581491909924161</c:v>
                </c:pt>
                <c:pt idx="1">
                  <c:v>41.401690556822309</c:v>
                </c:pt>
                <c:pt idx="2">
                  <c:v>45.491449449046115</c:v>
                </c:pt>
                <c:pt idx="3">
                  <c:v>49.199595033487569</c:v>
                </c:pt>
                <c:pt idx="4">
                  <c:v>51.50496473638178</c:v>
                </c:pt>
                <c:pt idx="5">
                  <c:v>52.556113659691043</c:v>
                </c:pt>
                <c:pt idx="6">
                  <c:v>#N/A</c:v>
                </c:pt>
                <c:pt idx="7">
                  <c:v>48.82121331853461</c:v>
                </c:pt>
                <c:pt idx="8">
                  <c:v>#N/A</c:v>
                </c:pt>
                <c:pt idx="9">
                  <c:v>34.000773099790756</c:v>
                </c:pt>
                <c:pt idx="10">
                  <c:v>#N/A</c:v>
                </c:pt>
                <c:pt idx="11">
                  <c:v>14.857173808335798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11-4881-A4F5-46C41F8B5BA7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ETR'!$BE$70:$BQ$70</c:f>
              <c:numCache>
                <c:formatCode>General</c:formatCode>
                <c:ptCount val="13"/>
                <c:pt idx="0">
                  <c:v>0.13512092333093745</c:v>
                </c:pt>
                <c:pt idx="1">
                  <c:v>2.3695125804415218</c:v>
                </c:pt>
                <c:pt idx="2">
                  <c:v>3.2919863239207507</c:v>
                </c:pt>
                <c:pt idx="3">
                  <c:v>4.1476407934078932</c:v>
                </c:pt>
                <c:pt idx="4">
                  <c:v>4.629104225639872</c:v>
                </c:pt>
                <c:pt idx="5">
                  <c:v>4.8240495188978372</c:v>
                </c:pt>
                <c:pt idx="6">
                  <c:v>#N/A</c:v>
                </c:pt>
                <c:pt idx="7">
                  <c:v>5.129650722423639</c:v>
                </c:pt>
                <c:pt idx="8">
                  <c:v>#N/A</c:v>
                </c:pt>
                <c:pt idx="9">
                  <c:v>4.9537657637736672</c:v>
                </c:pt>
                <c:pt idx="10">
                  <c:v>#N/A</c:v>
                </c:pt>
                <c:pt idx="11">
                  <c:v>3.6803194508827302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11-4881-A4F5-46C41F8B5BA7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ETR'!$D$12:$P$12</c:f>
              <c:numCache>
                <c:formatCode>General</c:formatCode>
                <c:ptCount val="13"/>
                <c:pt idx="0">
                  <c:v>93.275914768566807</c:v>
                </c:pt>
                <c:pt idx="1">
                  <c:v>93.272168221044808</c:v>
                </c:pt>
                <c:pt idx="2">
                  <c:v>93.253273658722833</c:v>
                </c:pt>
                <c:pt idx="3">
                  <c:v>93.140658312567439</c:v>
                </c:pt>
                <c:pt idx="4">
                  <c:v>92.464899236433993</c:v>
                </c:pt>
                <c:pt idx="5">
                  <c:v>88.452409025166048</c:v>
                </c:pt>
                <c:pt idx="6">
                  <c:v>79.643107822575701</c:v>
                </c:pt>
                <c:pt idx="7">
                  <c:v>67.069148909820925</c:v>
                </c:pt>
                <c:pt idx="8">
                  <c:v>57.701702525800705</c:v>
                </c:pt>
                <c:pt idx="9">
                  <c:v>39.15380423139397</c:v>
                </c:pt>
                <c:pt idx="10">
                  <c:v>31.814438606387764</c:v>
                </c:pt>
                <c:pt idx="11">
                  <c:v>15.759570776395783</c:v>
                </c:pt>
                <c:pt idx="12">
                  <c:v>-1.391889044971123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11-4881-A4F5-46C41F8B5BA7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ETR'!$D$43:$P$43</c:f>
              <c:numCache>
                <c:formatCode>General</c:formatCode>
                <c:ptCount val="13"/>
                <c:pt idx="0">
                  <c:v>45.459525042560976</c:v>
                </c:pt>
                <c:pt idx="1">
                  <c:v>45.459522112282592</c:v>
                </c:pt>
                <c:pt idx="2">
                  <c:v>45.459479893259456</c:v>
                </c:pt>
                <c:pt idx="3">
                  <c:v>45.458819778569463</c:v>
                </c:pt>
                <c:pt idx="4">
                  <c:v>45.448174734572618</c:v>
                </c:pt>
                <c:pt idx="5">
                  <c:v>45.266927308287627</c:v>
                </c:pt>
                <c:pt idx="6">
                  <c:v>44.368326199827422</c:v>
                </c:pt>
                <c:pt idx="7">
                  <c:v>41.964297968230703</c:v>
                </c:pt>
                <c:pt idx="8">
                  <c:v>39.241725785606498</c:v>
                </c:pt>
                <c:pt idx="9">
                  <c:v>31.149778091022345</c:v>
                </c:pt>
                <c:pt idx="10">
                  <c:v>26.859188999379054</c:v>
                </c:pt>
                <c:pt idx="11">
                  <c:v>15.194290279150191</c:v>
                </c:pt>
                <c:pt idx="12">
                  <c:v>-0.59714123506981132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11-4881-A4F5-46C41F8B5BA7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ETR'!$D$74:$P$74</c:f>
              <c:numCache>
                <c:formatCode>General</c:formatCode>
                <c:ptCount val="13"/>
                <c:pt idx="0">
                  <c:v>2.7593448923330053</c:v>
                </c:pt>
                <c:pt idx="1">
                  <c:v>2.7593448923330053</c:v>
                </c:pt>
                <c:pt idx="2">
                  <c:v>2.7593448923330053</c:v>
                </c:pt>
                <c:pt idx="3">
                  <c:v>2.7593448923330035</c:v>
                </c:pt>
                <c:pt idx="4">
                  <c:v>2.7593448923213928</c:v>
                </c:pt>
                <c:pt idx="5">
                  <c:v>2.75934481987131</c:v>
                </c:pt>
                <c:pt idx="6">
                  <c:v>2.7593311765786925</c:v>
                </c:pt>
                <c:pt idx="7">
                  <c:v>2.7588927993640437</c:v>
                </c:pt>
                <c:pt idx="8">
                  <c:v>2.756751097086092</c:v>
                </c:pt>
                <c:pt idx="9">
                  <c:v>2.7240730242128297</c:v>
                </c:pt>
                <c:pt idx="10">
                  <c:v>2.6762770800851485</c:v>
                </c:pt>
                <c:pt idx="11">
                  <c:v>2.3408221250160413</c:v>
                </c:pt>
                <c:pt idx="12">
                  <c:v>-6.8145965200673596E-5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11-4881-A4F5-46C41F8B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981227789004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ETR'!$C$13</c:f>
          <c:strCache>
            <c:ptCount val="1"/>
            <c:pt idx="0">
              <c:v>Frantoio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ETR'!$BE$9:$BQ$9</c:f>
              <c:numCache>
                <c:formatCode>General</c:formatCode>
                <c:ptCount val="13"/>
                <c:pt idx="0">
                  <c:v>18.77495</c:v>
                </c:pt>
                <c:pt idx="1">
                  <c:v>23.098796666666665</c:v>
                </c:pt>
                <c:pt idx="2">
                  <c:v>25.102136666666667</c:v>
                </c:pt>
                <c:pt idx="3">
                  <c:v>27.224740000000001</c:v>
                </c:pt>
                <c:pt idx="4">
                  <c:v>29.020803333333333</c:v>
                </c:pt>
                <c:pt idx="5">
                  <c:v>30.25315333333333</c:v>
                </c:pt>
                <c:pt idx="6">
                  <c:v>29.88703666666667</c:v>
                </c:pt>
                <c:pt idx="7">
                  <c:v>#N/A</c:v>
                </c:pt>
                <c:pt idx="8">
                  <c:v>27.8062</c:v>
                </c:pt>
                <c:pt idx="9">
                  <c:v>#N/A</c:v>
                </c:pt>
                <c:pt idx="10">
                  <c:v>22.543226666666666</c:v>
                </c:pt>
                <c:pt idx="11">
                  <c:v>13.939333333333334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20-4D60-8FCB-52723A3BE8C9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ETR'!$BE$40:$BQ$40</c:f>
              <c:numCache>
                <c:formatCode>General</c:formatCode>
                <c:ptCount val="13"/>
                <c:pt idx="0">
                  <c:v>25.687992045776525</c:v>
                </c:pt>
                <c:pt idx="1">
                  <c:v>31.045075406069998</c:v>
                </c:pt>
                <c:pt idx="2">
                  <c:v>34.878515714819962</c:v>
                </c:pt>
                <c:pt idx="3">
                  <c:v>37.807418355542318</c:v>
                </c:pt>
                <c:pt idx="4">
                  <c:v>40.080388132584531</c:v>
                </c:pt>
                <c:pt idx="5">
                  <c:v>41.548457951676205</c:v>
                </c:pt>
                <c:pt idx="6">
                  <c:v>#N/A</c:v>
                </c:pt>
                <c:pt idx="7">
                  <c:v>40.568915465185476</c:v>
                </c:pt>
                <c:pt idx="8">
                  <c:v>#N/A</c:v>
                </c:pt>
                <c:pt idx="9">
                  <c:v>32.200299943068529</c:v>
                </c:pt>
                <c:pt idx="10">
                  <c:v>#N/A</c:v>
                </c:pt>
                <c:pt idx="11">
                  <c:v>14.943341086312191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20-4D60-8FCB-52723A3BE8C9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ETR'!$BE$71:$BQ$71</c:f>
              <c:numCache>
                <c:formatCode>General</c:formatCode>
                <c:ptCount val="13"/>
                <c:pt idx="0">
                  <c:v>14.806141303802804</c:v>
                </c:pt>
                <c:pt idx="1">
                  <c:v>18.173923630405397</c:v>
                </c:pt>
                <c:pt idx="2">
                  <c:v>20.103835935725268</c:v>
                </c:pt>
                <c:pt idx="3">
                  <c:v>22.666998784090445</c:v>
                </c:pt>
                <c:pt idx="4">
                  <c:v>25.217241771272285</c:v>
                </c:pt>
                <c:pt idx="5">
                  <c:v>26.554736217313309</c:v>
                </c:pt>
                <c:pt idx="6">
                  <c:v>#N/A</c:v>
                </c:pt>
                <c:pt idx="7">
                  <c:v>26.913507847268509</c:v>
                </c:pt>
                <c:pt idx="8">
                  <c:v>#N/A</c:v>
                </c:pt>
                <c:pt idx="9">
                  <c:v>23.500583994906101</c:v>
                </c:pt>
                <c:pt idx="10">
                  <c:v>#N/A</c:v>
                </c:pt>
                <c:pt idx="11">
                  <c:v>13.289009561826678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20-4D60-8FCB-52723A3BE8C9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ETR'!$D$13:$P$13</c:f>
              <c:numCache>
                <c:formatCode>General</c:formatCode>
                <c:ptCount val="13"/>
                <c:pt idx="0">
                  <c:v>28.647657358727045</c:v>
                </c:pt>
                <c:pt idx="1">
                  <c:v>28.647657358708859</c:v>
                </c:pt>
                <c:pt idx="2">
                  <c:v>28.647657356835019</c:v>
                </c:pt>
                <c:pt idx="3">
                  <c:v>28.647657160653431</c:v>
                </c:pt>
                <c:pt idx="4">
                  <c:v>28.64763622315461</c:v>
                </c:pt>
                <c:pt idx="5">
                  <c:v>28.645275935476757</c:v>
                </c:pt>
                <c:pt idx="6">
                  <c:v>28.604593297557919</c:v>
                </c:pt>
                <c:pt idx="7">
                  <c:v>28.338496294972586</c:v>
                </c:pt>
                <c:pt idx="8">
                  <c:v>27.809846359549191</c:v>
                </c:pt>
                <c:pt idx="9">
                  <c:v>24.943722945813096</c:v>
                </c:pt>
                <c:pt idx="10">
                  <c:v>22.666836415218583</c:v>
                </c:pt>
                <c:pt idx="11">
                  <c:v>14.179441841482578</c:v>
                </c:pt>
                <c:pt idx="12">
                  <c:v>-3.4984444570872408E-2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20-4D60-8FCB-52723A3BE8C9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ETR'!$D$44:$P$44</c:f>
              <c:numCache>
                <c:formatCode>General</c:formatCode>
                <c:ptCount val="13"/>
                <c:pt idx="0">
                  <c:v>41.81940882816707</c:v>
                </c:pt>
                <c:pt idx="1">
                  <c:v>41.819408645897987</c:v>
                </c:pt>
                <c:pt idx="2">
                  <c:v>41.819404713071769</c:v>
                </c:pt>
                <c:pt idx="3">
                  <c:v>41.819313545182133</c:v>
                </c:pt>
                <c:pt idx="4">
                  <c:v>41.817100719755473</c:v>
                </c:pt>
                <c:pt idx="5">
                  <c:v>41.758645092409438</c:v>
                </c:pt>
                <c:pt idx="6">
                  <c:v>41.356482722620534</c:v>
                </c:pt>
                <c:pt idx="7">
                  <c:v>39.965300093757307</c:v>
                </c:pt>
                <c:pt idx="8">
                  <c:v>38.092482376814289</c:v>
                </c:pt>
                <c:pt idx="9">
                  <c:v>31.412645664343945</c:v>
                </c:pt>
                <c:pt idx="10">
                  <c:v>27.404742032669887</c:v>
                </c:pt>
                <c:pt idx="11">
                  <c:v>15.652711133250031</c:v>
                </c:pt>
                <c:pt idx="12">
                  <c:v>-0.31464281583730452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20-4D60-8FCB-52723A3BE8C9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ETR'!$D$75:$P$75</c:f>
              <c:numCache>
                <c:formatCode>General</c:formatCode>
                <c:ptCount val="13"/>
                <c:pt idx="0">
                  <c:v>31.911882109376513</c:v>
                </c:pt>
                <c:pt idx="1">
                  <c:v>31.911881945725074</c:v>
                </c:pt>
                <c:pt idx="2">
                  <c:v>31.911878603545809</c:v>
                </c:pt>
                <c:pt idx="3">
                  <c:v>31.911807071934788</c:v>
                </c:pt>
                <c:pt idx="4">
                  <c:v>31.910266599857827</c:v>
                </c:pt>
                <c:pt idx="5">
                  <c:v>31.875968286913551</c:v>
                </c:pt>
                <c:pt idx="6">
                  <c:v>31.667002657686577</c:v>
                </c:pt>
                <c:pt idx="7">
                  <c:v>30.974220229408047</c:v>
                </c:pt>
                <c:pt idx="8">
                  <c:v>30.018873725850415</c:v>
                </c:pt>
                <c:pt idx="9">
                  <c:v>26.216459283117</c:v>
                </c:pt>
                <c:pt idx="10">
                  <c:v>23.615357961929323</c:v>
                </c:pt>
                <c:pt idx="11">
                  <c:v>14.613113287351217</c:v>
                </c:pt>
                <c:pt idx="12">
                  <c:v>-0.1220678010571199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420-4D60-8FCB-52723A3B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ETR'!$C$14</c:f>
          <c:strCache>
            <c:ptCount val="1"/>
            <c:pt idx="0">
              <c:v>Hojiblanca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ETR'!$BE$10:$BQ$10</c:f>
              <c:numCache>
                <c:formatCode>General</c:formatCode>
                <c:ptCount val="13"/>
                <c:pt idx="0">
                  <c:v>58.176247500000002</c:v>
                </c:pt>
                <c:pt idx="1">
                  <c:v>76.734477749999996</c:v>
                </c:pt>
                <c:pt idx="2">
                  <c:v>84.92983799999999</c:v>
                </c:pt>
                <c:pt idx="3">
                  <c:v>89.916807750000004</c:v>
                </c:pt>
                <c:pt idx="4">
                  <c:v>90.418256250000013</c:v>
                </c:pt>
                <c:pt idx="5">
                  <c:v>84.281063999999986</c:v>
                </c:pt>
                <c:pt idx="6">
                  <c:v>73.998177749999996</c:v>
                </c:pt>
                <c:pt idx="7">
                  <c:v>#N/A</c:v>
                </c:pt>
                <c:pt idx="8">
                  <c:v>54.534317250000001</c:v>
                </c:pt>
                <c:pt idx="9">
                  <c:v>#N/A</c:v>
                </c:pt>
                <c:pt idx="10">
                  <c:v>31.194575999999998</c:v>
                </c:pt>
                <c:pt idx="11">
                  <c:v>16.212908249999998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AA-4FDC-930D-570B36456740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ETR'!$BE$41:$BQ$41</c:f>
              <c:numCache>
                <c:formatCode>General</c:formatCode>
                <c:ptCount val="13"/>
                <c:pt idx="0">
                  <c:v>25.188891390345177</c:v>
                </c:pt>
                <c:pt idx="1">
                  <c:v>32.068662326203722</c:v>
                </c:pt>
                <c:pt idx="2">
                  <c:v>36.527440185060719</c:v>
                </c:pt>
                <c:pt idx="3">
                  <c:v>41.003628141611742</c:v>
                </c:pt>
                <c:pt idx="4">
                  <c:v>44.305819687381792</c:v>
                </c:pt>
                <c:pt idx="5">
                  <c:v>46.7949915668637</c:v>
                </c:pt>
                <c:pt idx="6">
                  <c:v>#N/A</c:v>
                </c:pt>
                <c:pt idx="7">
                  <c:v>43.630572758534541</c:v>
                </c:pt>
                <c:pt idx="8">
                  <c:v>#N/A</c:v>
                </c:pt>
                <c:pt idx="9">
                  <c:v>31.004927375083952</c:v>
                </c:pt>
                <c:pt idx="10">
                  <c:v>#N/A</c:v>
                </c:pt>
                <c:pt idx="11">
                  <c:v>14.326877339483442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AA-4FDC-930D-570B36456740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ETR'!$BE$72:$BQ$72</c:f>
              <c:numCache>
                <c:formatCode>General</c:formatCode>
                <c:ptCount val="13"/>
                <c:pt idx="0">
                  <c:v>19.012598202500712</c:v>
                </c:pt>
                <c:pt idx="1">
                  <c:v>21.998723711102016</c:v>
                </c:pt>
                <c:pt idx="2">
                  <c:v>23.359005873134631</c:v>
                </c:pt>
                <c:pt idx="3">
                  <c:v>25.237227795553164</c:v>
                </c:pt>
                <c:pt idx="4">
                  <c:v>25.760241988651615</c:v>
                </c:pt>
                <c:pt idx="5">
                  <c:v>26.76338698756528</c:v>
                </c:pt>
                <c:pt idx="6">
                  <c:v>#N/A</c:v>
                </c:pt>
                <c:pt idx="7">
                  <c:v>25.48881354391359</c:v>
                </c:pt>
                <c:pt idx="8">
                  <c:v>#N/A</c:v>
                </c:pt>
                <c:pt idx="9">
                  <c:v>21.766439345662967</c:v>
                </c:pt>
                <c:pt idx="10">
                  <c:v>#N/A</c:v>
                </c:pt>
                <c:pt idx="11">
                  <c:v>12.279407148256501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AA-4FDC-930D-570B36456740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ETR'!$D$14:$P$14</c:f>
              <c:numCache>
                <c:formatCode>General</c:formatCode>
                <c:ptCount val="13"/>
                <c:pt idx="0">
                  <c:v>85.935892352112816</c:v>
                </c:pt>
                <c:pt idx="1">
                  <c:v>85.932451749380405</c:v>
                </c:pt>
                <c:pt idx="2">
                  <c:v>85.915262006916237</c:v>
                </c:pt>
                <c:pt idx="3">
                  <c:v>85.813857628911293</c:v>
                </c:pt>
                <c:pt idx="4">
                  <c:v>85.210939234829127</c:v>
                </c:pt>
                <c:pt idx="5">
                  <c:v>81.645493724634008</c:v>
                </c:pt>
                <c:pt idx="6">
                  <c:v>73.789426717668547</c:v>
                </c:pt>
                <c:pt idx="7">
                  <c:v>62.483935369446741</c:v>
                </c:pt>
                <c:pt idx="8">
                  <c:v>53.994618936702878</c:v>
                </c:pt>
                <c:pt idx="9">
                  <c:v>37.04134518502957</c:v>
                </c:pt>
                <c:pt idx="10">
                  <c:v>30.289532197102591</c:v>
                </c:pt>
                <c:pt idx="11">
                  <c:v>15.459197753813527</c:v>
                </c:pt>
                <c:pt idx="12">
                  <c:v>-0.43600831915094551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AA-4FDC-930D-570B36456740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ETR'!$D$45:$P$45</c:f>
              <c:numCache>
                <c:formatCode>General</c:formatCode>
                <c:ptCount val="13"/>
                <c:pt idx="0">
                  <c:v>39.842818386027787</c:v>
                </c:pt>
                <c:pt idx="1">
                  <c:v>39.842818350247306</c:v>
                </c:pt>
                <c:pt idx="2">
                  <c:v>39.842817254113058</c:v>
                </c:pt>
                <c:pt idx="3">
                  <c:v>39.842782519169091</c:v>
                </c:pt>
                <c:pt idx="4">
                  <c:v>39.841670462145018</c:v>
                </c:pt>
                <c:pt idx="5">
                  <c:v>39.804649737810571</c:v>
                </c:pt>
                <c:pt idx="6">
                  <c:v>39.514480152343197</c:v>
                </c:pt>
                <c:pt idx="7">
                  <c:v>38.417927281203298</c:v>
                </c:pt>
                <c:pt idx="8">
                  <c:v>36.854432456814664</c:v>
                </c:pt>
                <c:pt idx="9">
                  <c:v>30.899643734793443</c:v>
                </c:pt>
                <c:pt idx="10">
                  <c:v>27.148656846928123</c:v>
                </c:pt>
                <c:pt idx="11">
                  <c:v>15.678417934979104</c:v>
                </c:pt>
                <c:pt idx="12">
                  <c:v>-0.4944106539386624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DAA-4FDC-930D-570B36456740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ETR'!$D$76:$P$76</c:f>
              <c:numCache>
                <c:formatCode>General</c:formatCode>
                <c:ptCount val="13"/>
                <c:pt idx="0">
                  <c:v>25.645308598260499</c:v>
                </c:pt>
                <c:pt idx="1">
                  <c:v>25.645308598240092</c:v>
                </c:pt>
                <c:pt idx="2">
                  <c:v>25.645308596117879</c:v>
                </c:pt>
                <c:pt idx="3">
                  <c:v>25.645308368804638</c:v>
                </c:pt>
                <c:pt idx="4">
                  <c:v>25.645283390017951</c:v>
                </c:pt>
                <c:pt idx="5">
                  <c:v>25.642439992817195</c:v>
                </c:pt>
                <c:pt idx="6">
                  <c:v>25.594907919086527</c:v>
                </c:pt>
                <c:pt idx="7">
                  <c:v>25.300030108567793</c:v>
                </c:pt>
                <c:pt idx="8">
                  <c:v>24.741358966621323</c:v>
                </c:pt>
                <c:pt idx="9">
                  <c:v>21.912504302129321</c:v>
                </c:pt>
                <c:pt idx="10">
                  <c:v>19.777536338637361</c:v>
                </c:pt>
                <c:pt idx="11">
                  <c:v>12.200296047478874</c:v>
                </c:pt>
                <c:pt idx="12">
                  <c:v>2.5722717717350685E-2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DAA-4FDC-930D-570B36456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ETR'!$C$15</c:f>
          <c:strCache>
            <c:ptCount val="1"/>
            <c:pt idx="0">
              <c:v>Koroneiki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ETR'!$BE$11:$BQ$11</c:f>
              <c:numCache>
                <c:formatCode>General</c:formatCode>
                <c:ptCount val="13"/>
                <c:pt idx="0">
                  <c:v>21.37163</c:v>
                </c:pt>
                <c:pt idx="1">
                  <c:v>28.6894025</c:v>
                </c:pt>
                <c:pt idx="2">
                  <c:v>32.3742625</c:v>
                </c:pt>
                <c:pt idx="3">
                  <c:v>35.489377499999996</c:v>
                </c:pt>
                <c:pt idx="4">
                  <c:v>37.059465000000003</c:v>
                </c:pt>
                <c:pt idx="5">
                  <c:v>37.206719999999997</c:v>
                </c:pt>
                <c:pt idx="6">
                  <c:v>36.043462499999997</c:v>
                </c:pt>
                <c:pt idx="7">
                  <c:v>#N/A</c:v>
                </c:pt>
                <c:pt idx="8">
                  <c:v>31.816075000000001</c:v>
                </c:pt>
                <c:pt idx="9">
                  <c:v>#N/A</c:v>
                </c:pt>
                <c:pt idx="10">
                  <c:v>23.4064625</c:v>
                </c:pt>
                <c:pt idx="11">
                  <c:v>13.4266275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C8-4AE2-981A-E7DBA384ECA9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ETR'!$BE$42:$BQ$42</c:f>
              <c:numCache>
                <c:formatCode>General</c:formatCode>
                <c:ptCount val="13"/>
                <c:pt idx="0">
                  <c:v>25.993640213723879</c:v>
                </c:pt>
                <c:pt idx="1">
                  <c:v>34.019225776488021</c:v>
                </c:pt>
                <c:pt idx="2">
                  <c:v>41.320331493634718</c:v>
                </c:pt>
                <c:pt idx="3">
                  <c:v>46.659344840693024</c:v>
                </c:pt>
                <c:pt idx="4">
                  <c:v>50.383685885921409</c:v>
                </c:pt>
                <c:pt idx="5">
                  <c:v>52.341132707284743</c:v>
                </c:pt>
                <c:pt idx="6">
                  <c:v>#N/A</c:v>
                </c:pt>
                <c:pt idx="7">
                  <c:v>48.049694074206428</c:v>
                </c:pt>
                <c:pt idx="8">
                  <c:v>#N/A</c:v>
                </c:pt>
                <c:pt idx="9">
                  <c:v>36.062552632588854</c:v>
                </c:pt>
                <c:pt idx="10">
                  <c:v>#N/A</c:v>
                </c:pt>
                <c:pt idx="11">
                  <c:v>16.4012175584635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C8-4AE2-981A-E7DBA384ECA9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ETR'!$BE$73:$BQ$73</c:f>
              <c:numCache>
                <c:formatCode>General</c:formatCode>
                <c:ptCount val="13"/>
                <c:pt idx="0">
                  <c:v>5.2366175421352263</c:v>
                </c:pt>
                <c:pt idx="1">
                  <c:v>8.1753362314223779</c:v>
                </c:pt>
                <c:pt idx="2">
                  <c:v>10.638251042776389</c:v>
                </c:pt>
                <c:pt idx="3">
                  <c:v>11.676976312879766</c:v>
                </c:pt>
                <c:pt idx="4">
                  <c:v>13.639569770368615</c:v>
                </c:pt>
                <c:pt idx="5">
                  <c:v>14.501027954900895</c:v>
                </c:pt>
                <c:pt idx="6">
                  <c:v>#N/A</c:v>
                </c:pt>
                <c:pt idx="7">
                  <c:v>15.603439143341115</c:v>
                </c:pt>
                <c:pt idx="8">
                  <c:v>#N/A</c:v>
                </c:pt>
                <c:pt idx="9">
                  <c:v>15.17583330250948</c:v>
                </c:pt>
                <c:pt idx="10">
                  <c:v>#N/A</c:v>
                </c:pt>
                <c:pt idx="11">
                  <c:v>10.845732158241963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C8-4AE2-981A-E7DBA384ECA9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ETR'!$D$15:$P$15</c:f>
              <c:numCache>
                <c:formatCode>General</c:formatCode>
                <c:ptCount val="13"/>
                <c:pt idx="0">
                  <c:v>35.596089992166903</c:v>
                </c:pt>
                <c:pt idx="1">
                  <c:v>35.596089710909759</c:v>
                </c:pt>
                <c:pt idx="2">
                  <c:v>35.596084000933374</c:v>
                </c:pt>
                <c:pt idx="3">
                  <c:v>35.595959979846242</c:v>
                </c:pt>
                <c:pt idx="4">
                  <c:v>35.593180459149949</c:v>
                </c:pt>
                <c:pt idx="5">
                  <c:v>35.52755790067166</c:v>
                </c:pt>
                <c:pt idx="6">
                  <c:v>35.120055220855015</c:v>
                </c:pt>
                <c:pt idx="7">
                  <c:v>33.82294553784228</c:v>
                </c:pt>
                <c:pt idx="8">
                  <c:v>32.163291000554949</c:v>
                </c:pt>
                <c:pt idx="9">
                  <c:v>26.489170013380544</c:v>
                </c:pt>
                <c:pt idx="10">
                  <c:v>23.150844078608856</c:v>
                </c:pt>
                <c:pt idx="11">
                  <c:v>13.417631746697717</c:v>
                </c:pt>
                <c:pt idx="12">
                  <c:v>0.17966897381376001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C8-4AE2-981A-E7DBA384ECA9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ETR'!$D$46:$P$46</c:f>
              <c:numCache>
                <c:formatCode>General</c:formatCode>
                <c:ptCount val="13"/>
                <c:pt idx="0">
                  <c:v>46.600866238587948</c:v>
                </c:pt>
                <c:pt idx="1">
                  <c:v>46.600866031785863</c:v>
                </c:pt>
                <c:pt idx="2">
                  <c:v>46.600861013024634</c:v>
                </c:pt>
                <c:pt idx="3">
                  <c:v>46.600732781997884</c:v>
                </c:pt>
                <c:pt idx="4">
                  <c:v>46.59737509065846</c:v>
                </c:pt>
                <c:pt idx="5">
                  <c:v>46.50541668723536</c:v>
                </c:pt>
                <c:pt idx="6">
                  <c:v>45.886465470017548</c:v>
                </c:pt>
                <c:pt idx="7">
                  <c:v>43.864705367786918</c:v>
                </c:pt>
                <c:pt idx="8">
                  <c:v>41.303969056630969</c:v>
                </c:pt>
                <c:pt idx="9">
                  <c:v>32.970345659882966</c:v>
                </c:pt>
                <c:pt idx="10">
                  <c:v>28.349494440627197</c:v>
                </c:pt>
                <c:pt idx="11">
                  <c:v>15.745031874052904</c:v>
                </c:pt>
                <c:pt idx="12">
                  <c:v>-0.28186245114124631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C8-4AE2-981A-E7DBA384ECA9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ETR'!$D$77:$P$77</c:f>
              <c:numCache>
                <c:formatCode>General</c:formatCode>
                <c:ptCount val="13"/>
                <c:pt idx="0">
                  <c:v>18.912212843606763</c:v>
                </c:pt>
                <c:pt idx="1">
                  <c:v>18.912212843606763</c:v>
                </c:pt>
                <c:pt idx="2">
                  <c:v>18.912212843606678</c:v>
                </c:pt>
                <c:pt idx="3">
                  <c:v>18.912212843547987</c:v>
                </c:pt>
                <c:pt idx="4">
                  <c:v>18.912212802162355</c:v>
                </c:pt>
                <c:pt idx="5">
                  <c:v>18.91218273827705</c:v>
                </c:pt>
                <c:pt idx="6">
                  <c:v>18.910579417464181</c:v>
                </c:pt>
                <c:pt idx="7">
                  <c:v>18.887857682649969</c:v>
                </c:pt>
                <c:pt idx="8">
                  <c:v>18.816309905339789</c:v>
                </c:pt>
                <c:pt idx="9">
                  <c:v>18.14238005012847</c:v>
                </c:pt>
                <c:pt idx="10">
                  <c:v>17.368163146929351</c:v>
                </c:pt>
                <c:pt idx="11">
                  <c:v>12.909659359389847</c:v>
                </c:pt>
                <c:pt idx="12">
                  <c:v>-6.7422051228211113E-2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C8-4AE2-981A-E7DBA384E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2197664947054034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A_I'!$C$14</c:f>
          <c:strCache>
            <c:ptCount val="1"/>
            <c:pt idx="0">
              <c:v>Hojiblanca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A_I'!$D$14:$P$14</c:f>
              <c:numCache>
                <c:formatCode>General</c:formatCode>
                <c:ptCount val="13"/>
                <c:pt idx="0">
                  <c:v>11.448312916222321</c:v>
                </c:pt>
                <c:pt idx="1">
                  <c:v>11.443719499057446</c:v>
                </c:pt>
                <c:pt idx="2">
                  <c:v>11.428775320951035</c:v>
                </c:pt>
                <c:pt idx="3">
                  <c:v>11.368000059179565</c:v>
                </c:pt>
                <c:pt idx="4">
                  <c:v>11.122050458162995</c:v>
                </c:pt>
                <c:pt idx="5">
                  <c:v>10.160086559259531</c:v>
                </c:pt>
                <c:pt idx="6">
                  <c:v>8.634393231549355</c:v>
                </c:pt>
                <c:pt idx="7">
                  <c:v>6.8913793980780902</c:v>
                </c:pt>
                <c:pt idx="8">
                  <c:v>5.7499633218353452</c:v>
                </c:pt>
                <c:pt idx="9">
                  <c:v>3.7016249291442178</c:v>
                </c:pt>
                <c:pt idx="10">
                  <c:v>2.9400537797087747</c:v>
                </c:pt>
                <c:pt idx="11">
                  <c:v>1.3298735414627909</c:v>
                </c:pt>
                <c:pt idx="12">
                  <c:v>-0.34709904506290618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2D-4746-A450-417E192F44B7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A_I'!$D$45:$P$45</c:f>
              <c:numCache>
                <c:formatCode>General</c:formatCode>
                <c:ptCount val="13"/>
                <c:pt idx="0">
                  <c:v>2.4703113242935801</c:v>
                </c:pt>
                <c:pt idx="1">
                  <c:v>2.4703113242935517</c:v>
                </c:pt>
                <c:pt idx="2">
                  <c:v>2.4703113242877937</c:v>
                </c:pt>
                <c:pt idx="3">
                  <c:v>2.4703113230809155</c:v>
                </c:pt>
                <c:pt idx="4">
                  <c:v>2.4703110617359485</c:v>
                </c:pt>
                <c:pt idx="5">
                  <c:v>2.4702523735946702</c:v>
                </c:pt>
                <c:pt idx="6">
                  <c:v>2.4686949260837672</c:v>
                </c:pt>
                <c:pt idx="7">
                  <c:v>2.4552334108623874</c:v>
                </c:pt>
                <c:pt idx="8">
                  <c:v>2.4236347517447574</c:v>
                </c:pt>
                <c:pt idx="9">
                  <c:v>2.2065531451995577</c:v>
                </c:pt>
                <c:pt idx="10">
                  <c:v>2.0222465498269804</c:v>
                </c:pt>
                <c:pt idx="11">
                  <c:v>1.1829681587800136</c:v>
                </c:pt>
                <c:pt idx="12">
                  <c:v>-0.7690658284343479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2D-4746-A450-417E192F44B7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A_I'!$D$76:$P$76</c:f>
              <c:numCache>
                <c:formatCode>General</c:formatCode>
                <c:ptCount val="13"/>
                <c:pt idx="0">
                  <c:v>0.51294813852299992</c:v>
                </c:pt>
                <c:pt idx="1">
                  <c:v>0.51294813852299992</c:v>
                </c:pt>
                <c:pt idx="2">
                  <c:v>0.5129481385229997</c:v>
                </c:pt>
                <c:pt idx="3">
                  <c:v>0.51294813852270038</c:v>
                </c:pt>
                <c:pt idx="4">
                  <c:v>0.51294813810261142</c:v>
                </c:pt>
                <c:pt idx="5">
                  <c:v>0.51294754243348928</c:v>
                </c:pt>
                <c:pt idx="6">
                  <c:v>0.51290062838684047</c:v>
                </c:pt>
                <c:pt idx="7">
                  <c:v>0.51204009789560012</c:v>
                </c:pt>
                <c:pt idx="8">
                  <c:v>0.49899056844477352</c:v>
                </c:pt>
                <c:pt idx="9">
                  <c:v>0.47377034157536996</c:v>
                </c:pt>
                <c:pt idx="10">
                  <c:v>0.42939828689817189</c:v>
                </c:pt>
                <c:pt idx="11">
                  <c:v>0.15056507011550546</c:v>
                </c:pt>
                <c:pt idx="12">
                  <c:v>-0.83092615923296331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2D-4746-A450-417E192F4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ETR'!$C$16</c:f>
          <c:strCache>
            <c:ptCount val="1"/>
            <c:pt idx="0">
              <c:v>Martina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ETR'!$BE$12:$BQ$12</c:f>
              <c:numCache>
                <c:formatCode>General</c:formatCode>
                <c:ptCount val="13"/>
                <c:pt idx="0">
                  <c:v>17.255525000000002</c:v>
                </c:pt>
                <c:pt idx="1">
                  <c:v>28.860384999999997</c:v>
                </c:pt>
                <c:pt idx="2">
                  <c:v>37.18918</c:v>
                </c:pt>
                <c:pt idx="3">
                  <c:v>44.353585000000002</c:v>
                </c:pt>
                <c:pt idx="4">
                  <c:v>50.458970000000001</c:v>
                </c:pt>
                <c:pt idx="5">
                  <c:v>54.701979999999999</c:v>
                </c:pt>
                <c:pt idx="6">
                  <c:v>56.412265000000012</c:v>
                </c:pt>
                <c:pt idx="7">
                  <c:v>#N/A</c:v>
                </c:pt>
                <c:pt idx="8">
                  <c:v>48.348845000000004</c:v>
                </c:pt>
                <c:pt idx="9">
                  <c:v>#N/A</c:v>
                </c:pt>
                <c:pt idx="10">
                  <c:v>29.456620000000001</c:v>
                </c:pt>
                <c:pt idx="11">
                  <c:v>15.397955000000001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C1-4CF8-8B91-9C16F6B42450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ETR'!$BE$43:$BQ$43</c:f>
              <c:numCache>
                <c:formatCode>General</c:formatCode>
                <c:ptCount val="13"/>
                <c:pt idx="0">
                  <c:v>19.278103311643349</c:v>
                </c:pt>
                <c:pt idx="1">
                  <c:v>29.718453083743562</c:v>
                </c:pt>
                <c:pt idx="2">
                  <c:v>34.934211333859629</c:v>
                </c:pt>
                <c:pt idx="3">
                  <c:v>38.005133103223116</c:v>
                </c:pt>
                <c:pt idx="4">
                  <c:v>40.04655051520448</c:v>
                </c:pt>
                <c:pt idx="5">
                  <c:v>41.184016751900849</c:v>
                </c:pt>
                <c:pt idx="6">
                  <c:v>#N/A</c:v>
                </c:pt>
                <c:pt idx="7">
                  <c:v>36.769549961151228</c:v>
                </c:pt>
                <c:pt idx="8">
                  <c:v>#N/A</c:v>
                </c:pt>
                <c:pt idx="9">
                  <c:v>28.614360451365602</c:v>
                </c:pt>
                <c:pt idx="10">
                  <c:v>#N/A</c:v>
                </c:pt>
                <c:pt idx="11">
                  <c:v>14.161990334909662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C1-4CF8-8B91-9C16F6B42450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ETR'!$BE$74:$BQ$74</c:f>
              <c:numCache>
                <c:formatCode>General</c:formatCode>
                <c:ptCount val="13"/>
                <c:pt idx="0">
                  <c:v>10.272546024196112</c:v>
                </c:pt>
                <c:pt idx="1">
                  <c:v>18.699694291408427</c:v>
                </c:pt>
                <c:pt idx="2">
                  <c:v>22.566941434523695</c:v>
                </c:pt>
                <c:pt idx="3">
                  <c:v>25.613442374726336</c:v>
                </c:pt>
                <c:pt idx="4">
                  <c:v>26.94997417793396</c:v>
                </c:pt>
                <c:pt idx="5">
                  <c:v>28.843903133621914</c:v>
                </c:pt>
                <c:pt idx="6">
                  <c:v>#N/A</c:v>
                </c:pt>
                <c:pt idx="7">
                  <c:v>28.390892353873546</c:v>
                </c:pt>
                <c:pt idx="8">
                  <c:v>#N/A</c:v>
                </c:pt>
                <c:pt idx="9">
                  <c:v>24.418957524422691</c:v>
                </c:pt>
                <c:pt idx="10">
                  <c:v>#N/A</c:v>
                </c:pt>
                <c:pt idx="11">
                  <c:v>13.663287696957083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C1-4CF8-8B91-9C16F6B42450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ETR'!$D$16:$P$16</c:f>
              <c:numCache>
                <c:formatCode>General</c:formatCode>
                <c:ptCount val="13"/>
                <c:pt idx="0">
                  <c:v>51.87649790865904</c:v>
                </c:pt>
                <c:pt idx="1">
                  <c:v>51.87649780507715</c:v>
                </c:pt>
                <c:pt idx="2">
                  <c:v>51.876494760907185</c:v>
                </c:pt>
                <c:pt idx="3">
                  <c:v>51.87640102977317</c:v>
                </c:pt>
                <c:pt idx="4">
                  <c:v>51.873465547663294</c:v>
                </c:pt>
                <c:pt idx="5">
                  <c:v>51.779740588833107</c:v>
                </c:pt>
                <c:pt idx="6">
                  <c:v>51.100061347246481</c:v>
                </c:pt>
                <c:pt idx="7">
                  <c:v>48.804789233440374</c:v>
                </c:pt>
                <c:pt idx="8">
                  <c:v>45.866283889852845</c:v>
                </c:pt>
                <c:pt idx="9">
                  <c:v>36.304201191614531</c:v>
                </c:pt>
                <c:pt idx="10">
                  <c:v>31.034032219360853</c:v>
                </c:pt>
                <c:pt idx="11">
                  <c:v>16.782402427558516</c:v>
                </c:pt>
                <c:pt idx="12">
                  <c:v>-1.1741912781612334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C1-4CF8-8B91-9C16F6B42450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ETR'!$D$47:$P$47</c:f>
              <c:numCache>
                <c:formatCode>General</c:formatCode>
                <c:ptCount val="13"/>
                <c:pt idx="0">
                  <c:v>41.381915205241803</c:v>
                </c:pt>
                <c:pt idx="1">
                  <c:v>41.381914754518249</c:v>
                </c:pt>
                <c:pt idx="2">
                  <c:v>41.381905706848592</c:v>
                </c:pt>
                <c:pt idx="3">
                  <c:v>41.381711071096376</c:v>
                </c:pt>
                <c:pt idx="4">
                  <c:v>41.377403985350263</c:v>
                </c:pt>
                <c:pt idx="5">
                  <c:v>41.278535296957209</c:v>
                </c:pt>
                <c:pt idx="6">
                  <c:v>40.692213006497859</c:v>
                </c:pt>
                <c:pt idx="7">
                  <c:v>38.937721903487258</c:v>
                </c:pt>
                <c:pt idx="8">
                  <c:v>36.812495996992126</c:v>
                </c:pt>
                <c:pt idx="9">
                  <c:v>30.000459353794646</c:v>
                </c:pt>
                <c:pt idx="10">
                  <c:v>26.146642543160155</c:v>
                </c:pt>
                <c:pt idx="11">
                  <c:v>15.051219507739626</c:v>
                </c:pt>
                <c:pt idx="12">
                  <c:v>-0.17359132794473714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9C1-4CF8-8B91-9C16F6B42450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ETR'!$D$78:$P$78</c:f>
              <c:numCache>
                <c:formatCode>General</c:formatCode>
                <c:ptCount val="13"/>
                <c:pt idx="0">
                  <c:v>28.689626602869126</c:v>
                </c:pt>
                <c:pt idx="1">
                  <c:v>28.689626601128722</c:v>
                </c:pt>
                <c:pt idx="2">
                  <c:v>28.689626523941531</c:v>
                </c:pt>
                <c:pt idx="3">
                  <c:v>28.68962295778244</c:v>
                </c:pt>
                <c:pt idx="4">
                  <c:v>28.689452716254557</c:v>
                </c:pt>
                <c:pt idx="5">
                  <c:v>28.680761787900103</c:v>
                </c:pt>
                <c:pt idx="6">
                  <c:v>28.589346868455191</c:v>
                </c:pt>
                <c:pt idx="7">
                  <c:v>28.159570097398699</c:v>
                </c:pt>
                <c:pt idx="8">
                  <c:v>27.451480820449582</c:v>
                </c:pt>
                <c:pt idx="9">
                  <c:v>24.239808214909001</c:v>
                </c:pt>
                <c:pt idx="10">
                  <c:v>21.919686378779332</c:v>
                </c:pt>
                <c:pt idx="11">
                  <c:v>13.694796874714392</c:v>
                </c:pt>
                <c:pt idx="12">
                  <c:v>4.5557038758806366E-3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9C1-4CF8-8B91-9C16F6B4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1645940809123003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ETR'!$C$17</c:f>
          <c:strCache>
            <c:ptCount val="1"/>
            <c:pt idx="0">
              <c:v>Manzanilla de Sevilla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ETR'!$BE$13:$BQ$13</c:f>
              <c:numCache>
                <c:formatCode>General</c:formatCode>
                <c:ptCount val="13"/>
                <c:pt idx="0">
                  <c:v>16.531289999999998</c:v>
                </c:pt>
                <c:pt idx="1">
                  <c:v>21.900193333333334</c:v>
                </c:pt>
                <c:pt idx="2">
                  <c:v>22.770496666666666</c:v>
                </c:pt>
                <c:pt idx="3">
                  <c:v>25.075523333333336</c:v>
                </c:pt>
                <c:pt idx="4">
                  <c:v>26.922600000000003</c:v>
                </c:pt>
                <c:pt idx="5">
                  <c:v>27.518276666666662</c:v>
                </c:pt>
                <c:pt idx="6">
                  <c:v>27.764700000000001</c:v>
                </c:pt>
                <c:pt idx="7">
                  <c:v>#N/A</c:v>
                </c:pt>
                <c:pt idx="8">
                  <c:v>25.929236666666668</c:v>
                </c:pt>
                <c:pt idx="9">
                  <c:v>#N/A</c:v>
                </c:pt>
                <c:pt idx="10">
                  <c:v>20.071563333333334</c:v>
                </c:pt>
                <c:pt idx="11">
                  <c:v>11.974470333333334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69-4DEF-A1E1-E003F6C0B3FF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ETR'!$BE$44:$BQ$44</c:f>
              <c:numCache>
                <c:formatCode>General</c:formatCode>
                <c:ptCount val="13"/>
                <c:pt idx="0">
                  <c:v>20.867261688267018</c:v>
                </c:pt>
                <c:pt idx="1">
                  <c:v>28.150859435144078</c:v>
                </c:pt>
                <c:pt idx="2">
                  <c:v>32.11461828505464</c:v>
                </c:pt>
                <c:pt idx="3">
                  <c:v>35.09092537493347</c:v>
                </c:pt>
                <c:pt idx="4">
                  <c:v>37.293804828862193</c:v>
                </c:pt>
                <c:pt idx="5">
                  <c:v>38.797917158796437</c:v>
                </c:pt>
                <c:pt idx="6">
                  <c:v>#N/A</c:v>
                </c:pt>
                <c:pt idx="7">
                  <c:v>36.946263269209986</c:v>
                </c:pt>
                <c:pt idx="8">
                  <c:v>#N/A</c:v>
                </c:pt>
                <c:pt idx="9">
                  <c:v>29.354915374272853</c:v>
                </c:pt>
                <c:pt idx="10">
                  <c:v>#N/A</c:v>
                </c:pt>
                <c:pt idx="11">
                  <c:v>14.384759835024539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69-4DEF-A1E1-E003F6C0B3FF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ETR'!$BE$75:$BQ$75</c:f>
              <c:numCache>
                <c:formatCode>General</c:formatCode>
                <c:ptCount val="13"/>
                <c:pt idx="0">
                  <c:v>13.479416683250157</c:v>
                </c:pt>
                <c:pt idx="1">
                  <c:v>17.874900858029665</c:v>
                </c:pt>
                <c:pt idx="2">
                  <c:v>20.441286260567516</c:v>
                </c:pt>
                <c:pt idx="3">
                  <c:v>22.716607031560436</c:v>
                </c:pt>
                <c:pt idx="4">
                  <c:v>24.350189218693746</c:v>
                </c:pt>
                <c:pt idx="5">
                  <c:v>25.592104361466813</c:v>
                </c:pt>
                <c:pt idx="6">
                  <c:v>#N/A</c:v>
                </c:pt>
                <c:pt idx="7">
                  <c:v>25.6215672128404</c:v>
                </c:pt>
                <c:pt idx="8">
                  <c:v>#N/A</c:v>
                </c:pt>
                <c:pt idx="9">
                  <c:v>22.843047622066287</c:v>
                </c:pt>
                <c:pt idx="10">
                  <c:v>#N/A</c:v>
                </c:pt>
                <c:pt idx="11">
                  <c:v>13.731687604131587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69-4DEF-A1E1-E003F6C0B3FF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ETR'!$D$17:$P$17</c:f>
              <c:numCache>
                <c:formatCode>General</c:formatCode>
                <c:ptCount val="13"/>
                <c:pt idx="0">
                  <c:v>26.1252886923983</c:v>
                </c:pt>
                <c:pt idx="1">
                  <c:v>26.125288692392985</c:v>
                </c:pt>
                <c:pt idx="2">
                  <c:v>26.125288691663989</c:v>
                </c:pt>
                <c:pt idx="3">
                  <c:v>26.125288589587573</c:v>
                </c:pt>
                <c:pt idx="4">
                  <c:v>26.125274028474124</c:v>
                </c:pt>
                <c:pt idx="5">
                  <c:v>26.123141055444783</c:v>
                </c:pt>
                <c:pt idx="6">
                  <c:v>26.081777231532026</c:v>
                </c:pt>
                <c:pt idx="7">
                  <c:v>25.800582778464999</c:v>
                </c:pt>
                <c:pt idx="8">
                  <c:v>25.242755761681934</c:v>
                </c:pt>
                <c:pt idx="9">
                  <c:v>22.318195724577095</c:v>
                </c:pt>
                <c:pt idx="10">
                  <c:v>20.087572280830138</c:v>
                </c:pt>
                <c:pt idx="11">
                  <c:v>12.232257136009752</c:v>
                </c:pt>
                <c:pt idx="12">
                  <c:v>-0.11325528803392153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269-4DEF-A1E1-E003F6C0B3FF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ETR'!$D$48:$P$48</c:f>
              <c:numCache>
                <c:formatCode>General</c:formatCode>
                <c:ptCount val="13"/>
                <c:pt idx="0">
                  <c:v>40.3067091217262</c:v>
                </c:pt>
                <c:pt idx="1">
                  <c:v>40.306709026894211</c:v>
                </c:pt>
                <c:pt idx="2">
                  <c:v>40.306706795610602</c:v>
                </c:pt>
                <c:pt idx="3">
                  <c:v>40.30665020880366</c:v>
                </c:pt>
                <c:pt idx="4">
                  <c:v>40.305122267176998</c:v>
                </c:pt>
                <c:pt idx="5">
                  <c:v>40.258957858704491</c:v>
                </c:pt>
                <c:pt idx="6">
                  <c:v>39.908482650348454</c:v>
                </c:pt>
                <c:pt idx="7">
                  <c:v>38.617833871659677</c:v>
                </c:pt>
                <c:pt idx="8">
                  <c:v>36.827374435259337</c:v>
                </c:pt>
                <c:pt idx="9">
                  <c:v>30.332191884047209</c:v>
                </c:pt>
                <c:pt idx="10">
                  <c:v>26.426319631509124</c:v>
                </c:pt>
                <c:pt idx="11">
                  <c:v>15.046383701239979</c:v>
                </c:pt>
                <c:pt idx="12">
                  <c:v>-0.26252420390609882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269-4DEF-A1E1-E003F6C0B3FF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ETR'!$D$79:$P$79</c:f>
              <c:numCache>
                <c:formatCode>General</c:formatCode>
                <c:ptCount val="13"/>
                <c:pt idx="0">
                  <c:v>25.077005425213866</c:v>
                </c:pt>
                <c:pt idx="1">
                  <c:v>25.077005425202447</c:v>
                </c:pt>
                <c:pt idx="2">
                  <c:v>25.077005424003808</c:v>
                </c:pt>
                <c:pt idx="3">
                  <c:v>25.077005295015173</c:v>
                </c:pt>
                <c:pt idx="4">
                  <c:v>25.076991068931914</c:v>
                </c:pt>
                <c:pt idx="5">
                  <c:v>25.075352656526174</c:v>
                </c:pt>
                <c:pt idx="6">
                  <c:v>25.047345163403143</c:v>
                </c:pt>
                <c:pt idx="7">
                  <c:v>24.867106725132011</c:v>
                </c:pt>
                <c:pt idx="8">
                  <c:v>24.510665940245502</c:v>
                </c:pt>
                <c:pt idx="9">
                  <c:v>22.524772107019555</c:v>
                </c:pt>
                <c:pt idx="10">
                  <c:v>20.860544626336509</c:v>
                </c:pt>
                <c:pt idx="11">
                  <c:v>13.891780833136664</c:v>
                </c:pt>
                <c:pt idx="12">
                  <c:v>-5.4651204315109683E-2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269-4DEF-A1E1-E003F6C0B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025251153950581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ETR'!$C$18</c:f>
          <c:strCache>
            <c:ptCount val="1"/>
            <c:pt idx="0">
              <c:v>Picual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ETR'!$BE$14:$BQ$14</c:f>
              <c:numCache>
                <c:formatCode>General</c:formatCode>
                <c:ptCount val="13"/>
                <c:pt idx="0">
                  <c:v>42.403769358678154</c:v>
                </c:pt>
                <c:pt idx="1">
                  <c:v>56.874840857019514</c:v>
                </c:pt>
                <c:pt idx="2">
                  <c:v>60.743796110895147</c:v>
                </c:pt>
                <c:pt idx="3">
                  <c:v>70.89403216233309</c:v>
                </c:pt>
                <c:pt idx="4">
                  <c:v>88.329216074561486</c:v>
                </c:pt>
                <c:pt idx="5">
                  <c:v>72.026620993379595</c:v>
                </c:pt>
                <c:pt idx="6">
                  <c:v>59.076239387633557</c:v>
                </c:pt>
                <c:pt idx="7">
                  <c:v>#N/A</c:v>
                </c:pt>
                <c:pt idx="8">
                  <c:v>49.039707398684051</c:v>
                </c:pt>
                <c:pt idx="9">
                  <c:v>#N/A</c:v>
                </c:pt>
                <c:pt idx="10">
                  <c:v>29.247516585312564</c:v>
                </c:pt>
                <c:pt idx="11">
                  <c:v>15.403892502182297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C7-47B1-910C-A3B7C73FEB88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ETR'!$BE$45:$BQ$45</c:f>
              <c:numCache>
                <c:formatCode>General</c:formatCode>
                <c:ptCount val="13"/>
                <c:pt idx="0">
                  <c:v>20.018215494670226</c:v>
                </c:pt>
                <c:pt idx="1">
                  <c:v>30.781406726240579</c:v>
                </c:pt>
                <c:pt idx="2">
                  <c:v>34.349150015133233</c:v>
                </c:pt>
                <c:pt idx="3">
                  <c:v>38.775154152162919</c:v>
                </c:pt>
                <c:pt idx="4">
                  <c:v>41.851176776009673</c:v>
                </c:pt>
                <c:pt idx="5">
                  <c:v>41.789209871348035</c:v>
                </c:pt>
                <c:pt idx="6">
                  <c:v>#N/A</c:v>
                </c:pt>
                <c:pt idx="7">
                  <c:v>36.18042284914268</c:v>
                </c:pt>
                <c:pt idx="8">
                  <c:v>#N/A</c:v>
                </c:pt>
                <c:pt idx="9">
                  <c:v>25.366796964215112</c:v>
                </c:pt>
                <c:pt idx="10">
                  <c:v>#N/A</c:v>
                </c:pt>
                <c:pt idx="11">
                  <c:v>13.194596102053655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C7-47B1-910C-A3B7C73FEB88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ETR'!$BE$76:$BQ$76</c:f>
              <c:numCache>
                <c:formatCode>General</c:formatCode>
                <c:ptCount val="13"/>
                <c:pt idx="0">
                  <c:v>11.460078104015393</c:v>
                </c:pt>
                <c:pt idx="1">
                  <c:v>14.32857286610454</c:v>
                </c:pt>
                <c:pt idx="2">
                  <c:v>14.72534056616202</c:v>
                </c:pt>
                <c:pt idx="3">
                  <c:v>14.997588385323171</c:v>
                </c:pt>
                <c:pt idx="4">
                  <c:v>16.182159275530616</c:v>
                </c:pt>
                <c:pt idx="5">
                  <c:v>16.313948687299916</c:v>
                </c:pt>
                <c:pt idx="6">
                  <c:v>#N/A</c:v>
                </c:pt>
                <c:pt idx="7">
                  <c:v>16.147547471562934</c:v>
                </c:pt>
                <c:pt idx="8">
                  <c:v>#N/A</c:v>
                </c:pt>
                <c:pt idx="9">
                  <c:v>14.640125471584582</c:v>
                </c:pt>
                <c:pt idx="10">
                  <c:v>#N/A</c:v>
                </c:pt>
                <c:pt idx="11">
                  <c:v>10.541024314910278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C7-47B1-910C-A3B7C73FEB88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ETR'!$D$18:$P$18</c:f>
              <c:numCache>
                <c:formatCode>General</c:formatCode>
                <c:ptCount val="13"/>
                <c:pt idx="0">
                  <c:v>82.159475859219853</c:v>
                </c:pt>
                <c:pt idx="1">
                  <c:v>82.156818959011659</c:v>
                </c:pt>
                <c:pt idx="2">
                  <c:v>82.14373898964358</c:v>
                </c:pt>
                <c:pt idx="3">
                  <c:v>82.06681916750091</c:v>
                </c:pt>
                <c:pt idx="4">
                  <c:v>81.604773191031654</c:v>
                </c:pt>
                <c:pt idx="5">
                  <c:v>78.778719496573032</c:v>
                </c:pt>
                <c:pt idx="6">
                  <c:v>72.231254737342368</c:v>
                </c:pt>
                <c:pt idx="7">
                  <c:v>62.262161613896183</c:v>
                </c:pt>
                <c:pt idx="8">
                  <c:v>54.422799161964889</c:v>
                </c:pt>
                <c:pt idx="9">
                  <c:v>37.999030848618013</c:v>
                </c:pt>
                <c:pt idx="10">
                  <c:v>31.217458210650264</c:v>
                </c:pt>
                <c:pt idx="11">
                  <c:v>15.967235751371559</c:v>
                </c:pt>
                <c:pt idx="12">
                  <c:v>-0.69139964899659445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BC7-47B1-910C-A3B7C73FEB88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ETR'!$D$49:$P$49</c:f>
              <c:numCache>
                <c:formatCode>General</c:formatCode>
                <c:ptCount val="13"/>
                <c:pt idx="0">
                  <c:v>46.732982171358444</c:v>
                </c:pt>
                <c:pt idx="1">
                  <c:v>46.732863714029904</c:v>
                </c:pt>
                <c:pt idx="2">
                  <c:v>46.731935245268545</c:v>
                </c:pt>
                <c:pt idx="3">
                  <c:v>46.723657565374069</c:v>
                </c:pt>
                <c:pt idx="4">
                  <c:v>46.64806554574637</c:v>
                </c:pt>
                <c:pt idx="5">
                  <c:v>45.941909537190142</c:v>
                </c:pt>
                <c:pt idx="6">
                  <c:v>43.730092129854782</c:v>
                </c:pt>
                <c:pt idx="7">
                  <c:v>39.614176662459784</c:v>
                </c:pt>
                <c:pt idx="8">
                  <c:v>35.976407831472812</c:v>
                </c:pt>
                <c:pt idx="9">
                  <c:v>27.483825594765484</c:v>
                </c:pt>
                <c:pt idx="10">
                  <c:v>23.602156762598007</c:v>
                </c:pt>
                <c:pt idx="11">
                  <c:v>13.584112299012054</c:v>
                </c:pt>
                <c:pt idx="12">
                  <c:v>2.022622626839843E-3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BC7-47B1-910C-A3B7C73FEB88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ETR'!$D$80:$P$80</c:f>
              <c:numCache>
                <c:formatCode>General</c:formatCode>
                <c:ptCount val="13"/>
                <c:pt idx="0">
                  <c:v>12.376841184226222</c:v>
                </c:pt>
                <c:pt idx="1">
                  <c:v>12.376841179079586</c:v>
                </c:pt>
                <c:pt idx="2">
                  <c:v>12.37684104511308</c:v>
                </c:pt>
                <c:pt idx="3">
                  <c:v>12.376837428796328</c:v>
                </c:pt>
                <c:pt idx="4">
                  <c:v>12.376739809105539</c:v>
                </c:pt>
                <c:pt idx="5">
                  <c:v>12.374102340657616</c:v>
                </c:pt>
                <c:pt idx="6">
                  <c:v>12.356767295667446</c:v>
                </c:pt>
                <c:pt idx="7">
                  <c:v>12.295451140151989</c:v>
                </c:pt>
                <c:pt idx="8">
                  <c:v>12.197060678104053</c:v>
                </c:pt>
                <c:pt idx="9">
                  <c:v>11.598211715998593</c:v>
                </c:pt>
                <c:pt idx="10">
                  <c:v>10.990418432739787</c:v>
                </c:pt>
                <c:pt idx="11">
                  <c:v>7.7738617071812968</c:v>
                </c:pt>
                <c:pt idx="12">
                  <c:v>0.11476932343377726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BC7-47B1-910C-A3B7C73F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576975291881623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ETR'!$C$19</c:f>
          <c:strCache>
            <c:ptCount val="1"/>
            <c:pt idx="0">
              <c:v>Sikitita 1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57964794941172904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ETR'!$BE$15:$BQ$15</c:f>
              <c:numCache>
                <c:formatCode>General</c:formatCode>
                <c:ptCount val="13"/>
                <c:pt idx="0">
                  <c:v>31.910879999999995</c:v>
                </c:pt>
                <c:pt idx="1">
                  <c:v>48.53422333333333</c:v>
                </c:pt>
                <c:pt idx="2">
                  <c:v>56.069366666666667</c:v>
                </c:pt>
                <c:pt idx="3">
                  <c:v>61.191906666666675</c:v>
                </c:pt>
                <c:pt idx="4">
                  <c:v>64.223819999999989</c:v>
                </c:pt>
                <c:pt idx="5">
                  <c:v>63.844376666666669</c:v>
                </c:pt>
                <c:pt idx="6">
                  <c:v>61.225750000000005</c:v>
                </c:pt>
                <c:pt idx="7">
                  <c:v>#N/A</c:v>
                </c:pt>
                <c:pt idx="8">
                  <c:v>49.673353333333331</c:v>
                </c:pt>
                <c:pt idx="9">
                  <c:v>#N/A</c:v>
                </c:pt>
                <c:pt idx="10">
                  <c:v>29.885366666666666</c:v>
                </c:pt>
                <c:pt idx="11">
                  <c:v>15.598546666666666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83-472C-8146-6B163D960293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ETR'!$BE$46:$BQ$46</c:f>
              <c:numCache>
                <c:formatCode>General</c:formatCode>
                <c:ptCount val="13"/>
                <c:pt idx="0">
                  <c:v>20.01860781573421</c:v>
                </c:pt>
                <c:pt idx="1">
                  <c:v>29.285684519222727</c:v>
                </c:pt>
                <c:pt idx="2">
                  <c:v>35.68276879546238</c:v>
                </c:pt>
                <c:pt idx="3">
                  <c:v>39.868283182847946</c:v>
                </c:pt>
                <c:pt idx="4">
                  <c:v>43.012767459767211</c:v>
                </c:pt>
                <c:pt idx="5">
                  <c:v>45.69656333499718</c:v>
                </c:pt>
                <c:pt idx="6">
                  <c:v>#N/A</c:v>
                </c:pt>
                <c:pt idx="7">
                  <c:v>39.683999297109224</c:v>
                </c:pt>
                <c:pt idx="8">
                  <c:v>#N/A</c:v>
                </c:pt>
                <c:pt idx="9">
                  <c:v>31.841281249979147</c:v>
                </c:pt>
                <c:pt idx="10">
                  <c:v>28.246867299440368</c:v>
                </c:pt>
                <c:pt idx="11">
                  <c:v>14.827207307509127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83-472C-8146-6B163D960293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ETR'!$BE$77:$BQ$77</c:f>
              <c:numCache>
                <c:formatCode>General</c:formatCode>
                <c:ptCount val="13"/>
                <c:pt idx="0">
                  <c:v>11.694247219149092</c:v>
                </c:pt>
                <c:pt idx="1">
                  <c:v>17.499986800226122</c:v>
                </c:pt>
                <c:pt idx="2">
                  <c:v>21.41913191198903</c:v>
                </c:pt>
                <c:pt idx="3">
                  <c:v>23.86460624254536</c:v>
                </c:pt>
                <c:pt idx="4">
                  <c:v>25.281086932133089</c:v>
                </c:pt>
                <c:pt idx="5">
                  <c:v>27.715538544855605</c:v>
                </c:pt>
                <c:pt idx="6">
                  <c:v>#N/A</c:v>
                </c:pt>
                <c:pt idx="7">
                  <c:v>28.023745863349976</c:v>
                </c:pt>
                <c:pt idx="8">
                  <c:v>#N/A</c:v>
                </c:pt>
                <c:pt idx="9">
                  <c:v>24.817293006956636</c:v>
                </c:pt>
                <c:pt idx="10">
                  <c:v>#N/A</c:v>
                </c:pt>
                <c:pt idx="11">
                  <c:v>13.800226469487772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3-472C-8146-6B163D960293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ETR'!$D$19:$P$19</c:f>
              <c:numCache>
                <c:formatCode>General</c:formatCode>
                <c:ptCount val="13"/>
                <c:pt idx="0">
                  <c:v>60.741157180815193</c:v>
                </c:pt>
                <c:pt idx="1">
                  <c:v>60.741130060681634</c:v>
                </c:pt>
                <c:pt idx="2">
                  <c:v>60.740841202875629</c:v>
                </c:pt>
                <c:pt idx="3">
                  <c:v>60.737437275816831</c:v>
                </c:pt>
                <c:pt idx="4">
                  <c:v>60.696305317942432</c:v>
                </c:pt>
                <c:pt idx="5">
                  <c:v>60.181004426235461</c:v>
                </c:pt>
                <c:pt idx="6">
                  <c:v>58.151231595502892</c:v>
                </c:pt>
                <c:pt idx="7">
                  <c:v>53.600063445408914</c:v>
                </c:pt>
                <c:pt idx="8">
                  <c:v>49.017263534591144</c:v>
                </c:pt>
                <c:pt idx="9">
                  <c:v>36.941763841639656</c:v>
                </c:pt>
                <c:pt idx="10">
                  <c:v>31.088466578207786</c:v>
                </c:pt>
                <c:pt idx="11">
                  <c:v>16.449122389222122</c:v>
                </c:pt>
                <c:pt idx="12">
                  <c:v>-0.97869204692048806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C83-472C-8146-6B163D960293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ETR'!$D$50:$P$50</c:f>
              <c:numCache>
                <c:formatCode>General</c:formatCode>
                <c:ptCount val="13"/>
                <c:pt idx="0">
                  <c:v>45.08671676768131</c:v>
                </c:pt>
                <c:pt idx="1">
                  <c:v>45.086712504362374</c:v>
                </c:pt>
                <c:pt idx="2">
                  <c:v>45.086661471610675</c:v>
                </c:pt>
                <c:pt idx="3">
                  <c:v>45.085993656864161</c:v>
                </c:pt>
                <c:pt idx="4">
                  <c:v>45.07688546513868</c:v>
                </c:pt>
                <c:pt idx="5">
                  <c:v>44.938266098924416</c:v>
                </c:pt>
                <c:pt idx="6">
                  <c:v>44.252933840805035</c:v>
                </c:pt>
                <c:pt idx="7">
                  <c:v>42.31392883355678</c:v>
                </c:pt>
                <c:pt idx="8">
                  <c:v>39.973925799647283</c:v>
                </c:pt>
                <c:pt idx="9">
                  <c:v>32.379874439227422</c:v>
                </c:pt>
                <c:pt idx="10">
                  <c:v>28.064022329201418</c:v>
                </c:pt>
                <c:pt idx="11">
                  <c:v>15.797419032536734</c:v>
                </c:pt>
                <c:pt idx="12">
                  <c:v>-0.5703022687028293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C83-472C-8146-6B163D960293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ETR'!$D$81:$P$81</c:f>
              <c:numCache>
                <c:formatCode>General</c:formatCode>
                <c:ptCount val="13"/>
                <c:pt idx="0">
                  <c:v>24.668993594236351</c:v>
                </c:pt>
                <c:pt idx="1">
                  <c:v>24.668993594218176</c:v>
                </c:pt>
                <c:pt idx="2">
                  <c:v>24.668993592462801</c:v>
                </c:pt>
                <c:pt idx="3">
                  <c:v>24.668993418326135</c:v>
                </c:pt>
                <c:pt idx="4">
                  <c:v>24.668975695264855</c:v>
                </c:pt>
                <c:pt idx="5">
                  <c:v>24.667086208952991</c:v>
                </c:pt>
                <c:pt idx="6">
                  <c:v>24.636156017235951</c:v>
                </c:pt>
                <c:pt idx="7">
                  <c:v>24.442251633479561</c:v>
                </c:pt>
                <c:pt idx="8">
                  <c:v>24.065012260097035</c:v>
                </c:pt>
                <c:pt idx="9">
                  <c:v>22.020822327808638</c:v>
                </c:pt>
                <c:pt idx="10">
                  <c:v>20.357224915828034</c:v>
                </c:pt>
                <c:pt idx="11">
                  <c:v>13.691893542598933</c:v>
                </c:pt>
                <c:pt idx="12">
                  <c:v>-0.17565022106523914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C83-472C-8146-6B163D960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2749389084985066"/>
              <c:y val="0.78920670051378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5206822120207948"/>
          <c:w val="0.9"/>
          <c:h val="0.11034226127139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ETR'!$C$20</c:f>
          <c:strCache>
            <c:ptCount val="1"/>
            <c:pt idx="0">
              <c:v>Sikitita 2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5704150870030134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ETR'!$BE$16:$BQ$16</c:f>
              <c:numCache>
                <c:formatCode>General</c:formatCode>
                <c:ptCount val="13"/>
                <c:pt idx="0">
                  <c:v>57.490745000000004</c:v>
                </c:pt>
                <c:pt idx="1">
                  <c:v>76.645595</c:v>
                </c:pt>
                <c:pt idx="2">
                  <c:v>82.047199999999989</c:v>
                </c:pt>
                <c:pt idx="3">
                  <c:v>84.160444999999996</c:v>
                </c:pt>
                <c:pt idx="4">
                  <c:v>83.950199999999995</c:v>
                </c:pt>
                <c:pt idx="5">
                  <c:v>80.338349999999991</c:v>
                </c:pt>
                <c:pt idx="6">
                  <c:v>74.023409999999998</c:v>
                </c:pt>
                <c:pt idx="7">
                  <c:v>#N/A</c:v>
                </c:pt>
                <c:pt idx="8">
                  <c:v>55.680415000000004</c:v>
                </c:pt>
                <c:pt idx="9">
                  <c:v>#N/A</c:v>
                </c:pt>
                <c:pt idx="10">
                  <c:v>30.720215</c:v>
                </c:pt>
                <c:pt idx="11">
                  <c:v>15.753414999999999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3C-4A16-B24B-0E798646D392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ETR'!$BE$47:$BQ$47</c:f>
              <c:numCache>
                <c:formatCode>General</c:formatCode>
                <c:ptCount val="13"/>
                <c:pt idx="0">
                  <c:v>13.225038377870131</c:v>
                </c:pt>
                <c:pt idx="1">
                  <c:v>20.140419302182142</c:v>
                </c:pt>
                <c:pt idx="2">
                  <c:v>23.527996031127</c:v>
                </c:pt>
                <c:pt idx="3">
                  <c:v>25.108925719161032</c:v>
                </c:pt>
                <c:pt idx="4">
                  <c:v>27.178735538751635</c:v>
                </c:pt>
                <c:pt idx="5">
                  <c:v>29.086443274299789</c:v>
                </c:pt>
                <c:pt idx="6">
                  <c:v>#N/A</c:v>
                </c:pt>
                <c:pt idx="7">
                  <c:v>29.891436775945195</c:v>
                </c:pt>
                <c:pt idx="8">
                  <c:v>#N/A</c:v>
                </c:pt>
                <c:pt idx="9">
                  <c:v>25.26934632214369</c:v>
                </c:pt>
                <c:pt idx="10">
                  <c:v>#N/A</c:v>
                </c:pt>
                <c:pt idx="11">
                  <c:v>13.507040520228511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3C-4A16-B24B-0E798646D392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ETR'!$BE$78:$BQ$78</c:f>
              <c:numCache>
                <c:formatCode>General</c:formatCode>
                <c:ptCount val="13"/>
                <c:pt idx="0">
                  <c:v>15.173885359164462</c:v>
                </c:pt>
                <c:pt idx="1">
                  <c:v>22.515035498768398</c:v>
                </c:pt>
                <c:pt idx="2">
                  <c:v>25.647070466761466</c:v>
                </c:pt>
                <c:pt idx="3">
                  <c:v>28.981061602788827</c:v>
                </c:pt>
                <c:pt idx="4">
                  <c:v>30.46685783401195</c:v>
                </c:pt>
                <c:pt idx="5">
                  <c:v>32.205287930615711</c:v>
                </c:pt>
                <c:pt idx="6">
                  <c:v>#N/A</c:v>
                </c:pt>
                <c:pt idx="7">
                  <c:v>31.913770833370691</c:v>
                </c:pt>
                <c:pt idx="8">
                  <c:v>#N/A</c:v>
                </c:pt>
                <c:pt idx="9">
                  <c:v>26.88316089070619</c:v>
                </c:pt>
                <c:pt idx="10">
                  <c:v>#N/A</c:v>
                </c:pt>
                <c:pt idx="11">
                  <c:v>14.089113785288719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3C-4A16-B24B-0E798646D392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ETR'!$D$20:$P$20</c:f>
              <c:numCache>
                <c:formatCode>General</c:formatCode>
                <c:ptCount val="13"/>
                <c:pt idx="0">
                  <c:v>82.115925435261119</c:v>
                </c:pt>
                <c:pt idx="1">
                  <c:v>82.114764115930072</c:v>
                </c:pt>
                <c:pt idx="2">
                  <c:v>82.107895579610116</c:v>
                </c:pt>
                <c:pt idx="3">
                  <c:v>82.060533956176258</c:v>
                </c:pt>
                <c:pt idx="4">
                  <c:v>81.727583001365403</c:v>
                </c:pt>
                <c:pt idx="5">
                  <c:v>79.353703462200315</c:v>
                </c:pt>
                <c:pt idx="6">
                  <c:v>73.266201483560621</c:v>
                </c:pt>
                <c:pt idx="7">
                  <c:v>63.453716300360121</c:v>
                </c:pt>
                <c:pt idx="8">
                  <c:v>55.541487760392364</c:v>
                </c:pt>
                <c:pt idx="9">
                  <c:v>38.763944890355127</c:v>
                </c:pt>
                <c:pt idx="10">
                  <c:v>31.812575849923558</c:v>
                </c:pt>
                <c:pt idx="11">
                  <c:v>16.1882033636134</c:v>
                </c:pt>
                <c:pt idx="12">
                  <c:v>-0.85451410109306913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3C-4A16-B24B-0E798646D392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ETR'!$D$51:$P$51</c:f>
              <c:numCache>
                <c:formatCode>General</c:formatCode>
                <c:ptCount val="13"/>
                <c:pt idx="0">
                  <c:v>27.257423417330575</c:v>
                </c:pt>
                <c:pt idx="1">
                  <c:v>27.257423417329839</c:v>
                </c:pt>
                <c:pt idx="2">
                  <c:v>27.257423417198645</c:v>
                </c:pt>
                <c:pt idx="3">
                  <c:v>27.257423392908787</c:v>
                </c:pt>
                <c:pt idx="4">
                  <c:v>27.257418732623741</c:v>
                </c:pt>
                <c:pt idx="5">
                  <c:v>27.256476997753701</c:v>
                </c:pt>
                <c:pt idx="6">
                  <c:v>27.23371608938325</c:v>
                </c:pt>
                <c:pt idx="7">
                  <c:v>27.050610174053922</c:v>
                </c:pt>
                <c:pt idx="8">
                  <c:v>26.644810108197049</c:v>
                </c:pt>
                <c:pt idx="9">
                  <c:v>24.197528498632092</c:v>
                </c:pt>
                <c:pt idx="10">
                  <c:v>22.130495363986686</c:v>
                </c:pt>
                <c:pt idx="11">
                  <c:v>14.020831401001439</c:v>
                </c:pt>
                <c:pt idx="12">
                  <c:v>-0.17939173610306186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33C-4A16-B24B-0E798646D392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ETR'!$D$82:$P$82</c:f>
              <c:numCache>
                <c:formatCode>General</c:formatCode>
                <c:ptCount val="13"/>
                <c:pt idx="0">
                  <c:v>29.058475863715383</c:v>
                </c:pt>
                <c:pt idx="1">
                  <c:v>29.058475863689218</c:v>
                </c:pt>
                <c:pt idx="2">
                  <c:v>29.058475861402229</c:v>
                </c:pt>
                <c:pt idx="3">
                  <c:v>29.058475654552755</c:v>
                </c:pt>
                <c:pt idx="4">
                  <c:v>29.058455904412291</c:v>
                </c:pt>
                <c:pt idx="5">
                  <c:v>29.056327191969949</c:v>
                </c:pt>
                <c:pt idx="6">
                  <c:v>29.019059331739914</c:v>
                </c:pt>
                <c:pt idx="7">
                  <c:v>28.768626733745471</c:v>
                </c:pt>
                <c:pt idx="8">
                  <c:v>28.261198682560813</c:v>
                </c:pt>
                <c:pt idx="9">
                  <c:v>25.443969957166139</c:v>
                </c:pt>
                <c:pt idx="10">
                  <c:v>23.168692710072719</c:v>
                </c:pt>
                <c:pt idx="11">
                  <c:v>14.534263292098244</c:v>
                </c:pt>
                <c:pt idx="12">
                  <c:v>-0.22757805120908756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33C-4A16-B24B-0E798646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4680423567743686"/>
              <c:y val="0.779976183532614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108607113757E-2"/>
          <c:y val="0.87370880723242927"/>
          <c:w val="0.9"/>
          <c:h val="0.11030669777388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ETR'!$C$13</c:f>
          <c:strCache>
            <c:ptCount val="1"/>
            <c:pt idx="0">
              <c:v>Frantoio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ETR'!$D$13:$P$13</c:f>
              <c:numCache>
                <c:formatCode>General</c:formatCode>
                <c:ptCount val="13"/>
                <c:pt idx="0">
                  <c:v>28.647657358727045</c:v>
                </c:pt>
                <c:pt idx="1">
                  <c:v>28.647657358708859</c:v>
                </c:pt>
                <c:pt idx="2">
                  <c:v>28.647657356835019</c:v>
                </c:pt>
                <c:pt idx="3">
                  <c:v>28.647657160653431</c:v>
                </c:pt>
                <c:pt idx="4">
                  <c:v>28.64763622315461</c:v>
                </c:pt>
                <c:pt idx="5">
                  <c:v>28.645275935476757</c:v>
                </c:pt>
                <c:pt idx="6">
                  <c:v>28.604593297557919</c:v>
                </c:pt>
                <c:pt idx="7">
                  <c:v>28.338496294972586</c:v>
                </c:pt>
                <c:pt idx="8">
                  <c:v>27.809846359549191</c:v>
                </c:pt>
                <c:pt idx="9">
                  <c:v>24.943722945813096</c:v>
                </c:pt>
                <c:pt idx="10">
                  <c:v>22.666836415218583</c:v>
                </c:pt>
                <c:pt idx="11">
                  <c:v>14.179441841482578</c:v>
                </c:pt>
                <c:pt idx="12">
                  <c:v>-3.4984444570872408E-2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35-4202-80D8-5977C604DBBB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ETR'!$D$44:$P$44</c:f>
              <c:numCache>
                <c:formatCode>General</c:formatCode>
                <c:ptCount val="13"/>
                <c:pt idx="0">
                  <c:v>41.81940882816707</c:v>
                </c:pt>
                <c:pt idx="1">
                  <c:v>41.819408645897987</c:v>
                </c:pt>
                <c:pt idx="2">
                  <c:v>41.819404713071769</c:v>
                </c:pt>
                <c:pt idx="3">
                  <c:v>41.819313545182133</c:v>
                </c:pt>
                <c:pt idx="4">
                  <c:v>41.817100719755473</c:v>
                </c:pt>
                <c:pt idx="5">
                  <c:v>41.758645092409438</c:v>
                </c:pt>
                <c:pt idx="6">
                  <c:v>41.356482722620534</c:v>
                </c:pt>
                <c:pt idx="7">
                  <c:v>39.965300093757307</c:v>
                </c:pt>
                <c:pt idx="8">
                  <c:v>38.092482376814289</c:v>
                </c:pt>
                <c:pt idx="9">
                  <c:v>31.412645664343945</c:v>
                </c:pt>
                <c:pt idx="10">
                  <c:v>27.404742032669887</c:v>
                </c:pt>
                <c:pt idx="11">
                  <c:v>15.652711133250031</c:v>
                </c:pt>
                <c:pt idx="12">
                  <c:v>-0.31464281583730452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35-4202-80D8-5977C604DBBB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ETR'!$D$75:$P$75</c:f>
              <c:numCache>
                <c:formatCode>General</c:formatCode>
                <c:ptCount val="13"/>
                <c:pt idx="0">
                  <c:v>31.911882109376513</c:v>
                </c:pt>
                <c:pt idx="1">
                  <c:v>31.911881945725074</c:v>
                </c:pt>
                <c:pt idx="2">
                  <c:v>31.911878603545809</c:v>
                </c:pt>
                <c:pt idx="3">
                  <c:v>31.911807071934788</c:v>
                </c:pt>
                <c:pt idx="4">
                  <c:v>31.910266599857827</c:v>
                </c:pt>
                <c:pt idx="5">
                  <c:v>31.875968286913551</c:v>
                </c:pt>
                <c:pt idx="6">
                  <c:v>31.667002657686577</c:v>
                </c:pt>
                <c:pt idx="7">
                  <c:v>30.974220229408047</c:v>
                </c:pt>
                <c:pt idx="8">
                  <c:v>30.018873725850415</c:v>
                </c:pt>
                <c:pt idx="9">
                  <c:v>26.216459283117</c:v>
                </c:pt>
                <c:pt idx="10">
                  <c:v>23.615357961929323</c:v>
                </c:pt>
                <c:pt idx="11">
                  <c:v>14.613113287351217</c:v>
                </c:pt>
                <c:pt idx="12">
                  <c:v>-0.1220678010571199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35-4202-80D8-5977C604D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ETR'!$C$19</c:f>
          <c:strCache>
            <c:ptCount val="1"/>
            <c:pt idx="0">
              <c:v>Sikitita 1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ETR'!$D$19:$P$19</c:f>
              <c:numCache>
                <c:formatCode>General</c:formatCode>
                <c:ptCount val="13"/>
                <c:pt idx="0">
                  <c:v>60.741157180815193</c:v>
                </c:pt>
                <c:pt idx="1">
                  <c:v>60.741130060681634</c:v>
                </c:pt>
                <c:pt idx="2">
                  <c:v>60.740841202875629</c:v>
                </c:pt>
                <c:pt idx="3">
                  <c:v>60.737437275816831</c:v>
                </c:pt>
                <c:pt idx="4">
                  <c:v>60.696305317942432</c:v>
                </c:pt>
                <c:pt idx="5">
                  <c:v>60.181004426235461</c:v>
                </c:pt>
                <c:pt idx="6">
                  <c:v>58.151231595502892</c:v>
                </c:pt>
                <c:pt idx="7">
                  <c:v>53.600063445408914</c:v>
                </c:pt>
                <c:pt idx="8">
                  <c:v>49.017263534591144</c:v>
                </c:pt>
                <c:pt idx="9">
                  <c:v>36.941763841639656</c:v>
                </c:pt>
                <c:pt idx="10">
                  <c:v>31.088466578207786</c:v>
                </c:pt>
                <c:pt idx="11">
                  <c:v>16.449122389222122</c:v>
                </c:pt>
                <c:pt idx="12">
                  <c:v>-0.97869204692048806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4-45A0-AA3C-4596ADD7D84B}"/>
            </c:ext>
          </c:extLst>
        </c:ser>
        <c:ser>
          <c:idx val="1"/>
          <c:order val="1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ETR'!$D$50:$P$50</c:f>
              <c:numCache>
                <c:formatCode>General</c:formatCode>
                <c:ptCount val="13"/>
                <c:pt idx="0">
                  <c:v>45.08671676768131</c:v>
                </c:pt>
                <c:pt idx="1">
                  <c:v>45.086712504362374</c:v>
                </c:pt>
                <c:pt idx="2">
                  <c:v>45.086661471610675</c:v>
                </c:pt>
                <c:pt idx="3">
                  <c:v>45.085993656864161</c:v>
                </c:pt>
                <c:pt idx="4">
                  <c:v>45.07688546513868</c:v>
                </c:pt>
                <c:pt idx="5">
                  <c:v>44.938266098924416</c:v>
                </c:pt>
                <c:pt idx="6">
                  <c:v>44.252933840805035</c:v>
                </c:pt>
                <c:pt idx="7">
                  <c:v>42.31392883355678</c:v>
                </c:pt>
                <c:pt idx="8">
                  <c:v>39.973925799647283</c:v>
                </c:pt>
                <c:pt idx="9">
                  <c:v>32.379874439227422</c:v>
                </c:pt>
                <c:pt idx="10">
                  <c:v>28.064022329201418</c:v>
                </c:pt>
                <c:pt idx="11">
                  <c:v>15.797419032536734</c:v>
                </c:pt>
                <c:pt idx="12">
                  <c:v>-0.5703022687028293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24-45A0-AA3C-4596ADD7D84B}"/>
            </c:ext>
          </c:extLst>
        </c:ser>
        <c:ser>
          <c:idx val="2"/>
          <c:order val="2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ETR'!$D$81:$P$81</c:f>
              <c:numCache>
                <c:formatCode>General</c:formatCode>
                <c:ptCount val="13"/>
                <c:pt idx="0">
                  <c:v>24.668993594236351</c:v>
                </c:pt>
                <c:pt idx="1">
                  <c:v>24.668993594218176</c:v>
                </c:pt>
                <c:pt idx="2">
                  <c:v>24.668993592462801</c:v>
                </c:pt>
                <c:pt idx="3">
                  <c:v>24.668993418326135</c:v>
                </c:pt>
                <c:pt idx="4">
                  <c:v>24.668975695264855</c:v>
                </c:pt>
                <c:pt idx="5">
                  <c:v>24.667086208952991</c:v>
                </c:pt>
                <c:pt idx="6">
                  <c:v>24.636156017235951</c:v>
                </c:pt>
                <c:pt idx="7">
                  <c:v>24.442251633479561</c:v>
                </c:pt>
                <c:pt idx="8">
                  <c:v>24.065012260097035</c:v>
                </c:pt>
                <c:pt idx="9">
                  <c:v>22.020822327808638</c:v>
                </c:pt>
                <c:pt idx="10">
                  <c:v>20.357224915828034</c:v>
                </c:pt>
                <c:pt idx="11">
                  <c:v>13.691893542598933</c:v>
                </c:pt>
                <c:pt idx="12">
                  <c:v>-0.17565022106523914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24-45A0-AA3C-4596ADD7D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247352701601955"/>
              <c:y val="0.8262724548811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2_Curves ETR'!$C$7</c:f>
          <c:strCache>
            <c:ptCount val="1"/>
            <c:pt idx="0">
              <c:v>Arbequina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'[2]Experimental Curves ETR'!$BC$3:$BC$16</c:f>
              <c:strCache>
                <c:ptCount val="1"/>
                <c:pt idx="0">
                  <c:v>Experimental_C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ETR'!$BE$2:$BQ$2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ETR'!$BE$3:$BQ$3</c:f>
              <c:numCache>
                <c:formatCode>General</c:formatCode>
                <c:ptCount val="13"/>
                <c:pt idx="0">
                  <c:v>43.572015227672736</c:v>
                </c:pt>
                <c:pt idx="1">
                  <c:v>54.050554711443603</c:v>
                </c:pt>
                <c:pt idx="2">
                  <c:v>61.774244544430417</c:v>
                </c:pt>
                <c:pt idx="3">
                  <c:v>67.880668558219909</c:v>
                </c:pt>
                <c:pt idx="4">
                  <c:v>70.865651736940848</c:v>
                </c:pt>
                <c:pt idx="5">
                  <c:v>67.832677420166561</c:v>
                </c:pt>
                <c:pt idx="6">
                  <c:v>61.245733237133287</c:v>
                </c:pt>
                <c:pt idx="7">
                  <c:v>#N/A</c:v>
                </c:pt>
                <c:pt idx="8">
                  <c:v>47.114246728055733</c:v>
                </c:pt>
                <c:pt idx="9">
                  <c:v>#N/A</c:v>
                </c:pt>
                <c:pt idx="10">
                  <c:v>28.315675799007305</c:v>
                </c:pt>
                <c:pt idx="11">
                  <c:v>14.907661426134414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4B-4BD1-8EEB-6CB4ECE0DA2C}"/>
            </c:ext>
          </c:extLst>
        </c:ser>
        <c:ser>
          <c:idx val="4"/>
          <c:order val="1"/>
          <c:tx>
            <c:strRef>
              <c:f>'[2]Experimental Curves ETR'!$BC$34:$BC$47</c:f>
              <c:strCache>
                <c:ptCount val="1"/>
                <c:pt idx="0">
                  <c:v>Experimental_MD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ETR'!$BE$33:$BQ$33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ETR'!$BE$34:$BQ$34</c:f>
              <c:numCache>
                <c:formatCode>General</c:formatCode>
                <c:ptCount val="13"/>
                <c:pt idx="0">
                  <c:v>30.281716779149971</c:v>
                </c:pt>
                <c:pt idx="1">
                  <c:v>39.447857860213404</c:v>
                </c:pt>
                <c:pt idx="2">
                  <c:v>43.468136475711269</c:v>
                </c:pt>
                <c:pt idx="3">
                  <c:v>46.743608564674659</c:v>
                </c:pt>
                <c:pt idx="4">
                  <c:v>49.149759922486218</c:v>
                </c:pt>
                <c:pt idx="5">
                  <c:v>50.505389938221796</c:v>
                </c:pt>
                <c:pt idx="6">
                  <c:v>#N/A</c:v>
                </c:pt>
                <c:pt idx="7">
                  <c:v>47.727396352745487</c:v>
                </c:pt>
                <c:pt idx="8">
                  <c:v>#N/A</c:v>
                </c:pt>
                <c:pt idx="9">
                  <c:v>33.66700864055381</c:v>
                </c:pt>
                <c:pt idx="10">
                  <c:v>#N/A</c:v>
                </c:pt>
                <c:pt idx="11">
                  <c:v>14.947475723978313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4B-4BD1-8EEB-6CB4ECE0DA2C}"/>
            </c:ext>
          </c:extLst>
        </c:ser>
        <c:ser>
          <c:idx val="5"/>
          <c:order val="2"/>
          <c:tx>
            <c:strRef>
              <c:f>'[2]Experimental Curves ETR'!$BC$65:$BC$78</c:f>
              <c:strCache>
                <c:ptCount val="1"/>
                <c:pt idx="0">
                  <c:v>Experimental_SD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dash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'[2]Experimental Curves ETR'!$BE$64:$BQ$64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'[2]Experimental Curves ETR'!$BE$65:$BQ$65</c:f>
              <c:numCache>
                <c:formatCode>General</c:formatCode>
                <c:ptCount val="13"/>
                <c:pt idx="0">
                  <c:v>11.540996402511734</c:v>
                </c:pt>
                <c:pt idx="1">
                  <c:v>16.30910093927374</c:v>
                </c:pt>
                <c:pt idx="2">
                  <c:v>18.190379297012324</c:v>
                </c:pt>
                <c:pt idx="3">
                  <c:v>20.261174922983766</c:v>
                </c:pt>
                <c:pt idx="4">
                  <c:v>21.969407555178329</c:v>
                </c:pt>
                <c:pt idx="5">
                  <c:v>23.654571673054811</c:v>
                </c:pt>
                <c:pt idx="6">
                  <c:v>#N/A</c:v>
                </c:pt>
                <c:pt idx="7">
                  <c:v>23.348053565843049</c:v>
                </c:pt>
                <c:pt idx="8">
                  <c:v>#N/A</c:v>
                </c:pt>
                <c:pt idx="9">
                  <c:v>21.034123423559226</c:v>
                </c:pt>
                <c:pt idx="10">
                  <c:v>#N/A</c:v>
                </c:pt>
                <c:pt idx="11">
                  <c:v>12.410457812309291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4B-4BD1-8EEB-6CB4ECE0DA2C}"/>
            </c:ext>
          </c:extLst>
        </c:ser>
        <c:ser>
          <c:idx val="0"/>
          <c:order val="3"/>
          <c:tx>
            <c:strRef>
              <c:f>'Figure 2_Curves ETR'!$B$7:$B$20</c:f>
              <c:strCache>
                <c:ptCount val="1"/>
                <c:pt idx="0">
                  <c:v>Fit_C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ETR'!$D$7:$P$7</c:f>
              <c:numCache>
                <c:formatCode>General</c:formatCode>
                <c:ptCount val="13"/>
                <c:pt idx="0">
                  <c:v>63.760930237829982</c:v>
                </c:pt>
                <c:pt idx="1">
                  <c:v>63.760352833630826</c:v>
                </c:pt>
                <c:pt idx="2">
                  <c:v>63.756799785440919</c:v>
                </c:pt>
                <c:pt idx="3">
                  <c:v>63.731501105140616</c:v>
                </c:pt>
                <c:pt idx="4">
                  <c:v>63.548858933756811</c:v>
                </c:pt>
                <c:pt idx="5">
                  <c:v>62.213809633269548</c:v>
                </c:pt>
                <c:pt idx="6">
                  <c:v>58.674878207736697</c:v>
                </c:pt>
                <c:pt idx="7">
                  <c:v>52.634719183406631</c:v>
                </c:pt>
                <c:pt idx="8">
                  <c:v>47.413708652508888</c:v>
                </c:pt>
                <c:pt idx="9">
                  <c:v>35.078169912255348</c:v>
                </c:pt>
                <c:pt idx="10">
                  <c:v>29.403819378378909</c:v>
                </c:pt>
                <c:pt idx="11">
                  <c:v>15.467439794650115</c:v>
                </c:pt>
                <c:pt idx="12">
                  <c:v>-1.0278063558887274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B4B-4BD1-8EEB-6CB4ECE0DA2C}"/>
            </c:ext>
          </c:extLst>
        </c:ser>
        <c:ser>
          <c:idx val="1"/>
          <c:order val="4"/>
          <c:tx>
            <c:strRef>
              <c:f>'Figure 2_Curves ETR'!$B$38:$B$51</c:f>
              <c:strCache>
                <c:ptCount val="1"/>
                <c:pt idx="0">
                  <c:v>Fit_MD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ETR'!$D$38:$P$38</c:f>
              <c:numCache>
                <c:formatCode>General</c:formatCode>
                <c:ptCount val="13"/>
                <c:pt idx="0">
                  <c:v>42.589112880540497</c:v>
                </c:pt>
                <c:pt idx="1">
                  <c:v>42.589112183380706</c:v>
                </c:pt>
                <c:pt idx="2">
                  <c:v>42.589100246366961</c:v>
                </c:pt>
                <c:pt idx="3">
                  <c:v>42.58887482920867</c:v>
                </c:pt>
                <c:pt idx="4">
                  <c:v>42.584333974706936</c:v>
                </c:pt>
                <c:pt idx="5">
                  <c:v>42.483978417739891</c:v>
                </c:pt>
                <c:pt idx="6">
                  <c:v>41.882379763625337</c:v>
                </c:pt>
                <c:pt idx="7">
                  <c:v>40.046593434656216</c:v>
                </c:pt>
                <c:pt idx="8">
                  <c:v>37.80119586116556</c:v>
                </c:pt>
                <c:pt idx="9">
                  <c:v>30.635924125801296</c:v>
                </c:pt>
                <c:pt idx="10">
                  <c:v>26.640884033437221</c:v>
                </c:pt>
                <c:pt idx="11">
                  <c:v>15.283470770069037</c:v>
                </c:pt>
                <c:pt idx="12">
                  <c:v>-0.43955883426799469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B4B-4BD1-8EEB-6CB4ECE0DA2C}"/>
            </c:ext>
          </c:extLst>
        </c:ser>
        <c:ser>
          <c:idx val="2"/>
          <c:order val="5"/>
          <c:tx>
            <c:strRef>
              <c:f>'Figure 2_Curves ETR'!$B$69:$B$82</c:f>
              <c:strCache>
                <c:ptCount val="1"/>
                <c:pt idx="0">
                  <c:v>Fit_SD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'Figure 2_Curves ETR'!$D$68:$P$68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2_Curves ETR'!$D$69:$P$69</c:f>
              <c:numCache>
                <c:formatCode>General</c:formatCode>
                <c:ptCount val="13"/>
                <c:pt idx="0">
                  <c:v>23.221071080799828</c:v>
                </c:pt>
                <c:pt idx="1">
                  <c:v>23.221071080590363</c:v>
                </c:pt>
                <c:pt idx="2">
                  <c:v>23.221071067595602</c:v>
                </c:pt>
                <c:pt idx="3">
                  <c:v>23.221070246276948</c:v>
                </c:pt>
                <c:pt idx="4">
                  <c:v>23.221017823027282</c:v>
                </c:pt>
                <c:pt idx="5">
                  <c:v>23.217557964424447</c:v>
                </c:pt>
                <c:pt idx="6">
                  <c:v>23.175715214117194</c:v>
                </c:pt>
                <c:pt idx="7">
                  <c:v>22.960448192675027</c:v>
                </c:pt>
                <c:pt idx="8">
                  <c:v>22.581966833766113</c:v>
                </c:pt>
                <c:pt idx="9">
                  <c:v>20.661295253557341</c:v>
                </c:pt>
                <c:pt idx="10">
                  <c:v>19.107777066057793</c:v>
                </c:pt>
                <c:pt idx="11">
                  <c:v>12.678755161914461</c:v>
                </c:pt>
                <c:pt idx="12">
                  <c:v>-2.9363178934207378E-2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B4B-4BD1-8EEB-6CB4ECE0D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layout>
            <c:manualLayout>
              <c:xMode val="edge"/>
              <c:yMode val="edge"/>
              <c:x val="0.53852837360847139"/>
              <c:y val="0.82273263187234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[2]ED_42d!$F$1:$F$2</c:f>
              <c:strCache>
                <c:ptCount val="1"/>
                <c:pt idx="0">
                  <c:v>ETR  (µmol electrons m⁻² s⁻¹)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1_Curves A_I'!$C$15</c:f>
          <c:strCache>
            <c:ptCount val="1"/>
            <c:pt idx="0">
              <c:v>Koroneiki</c:v>
            </c:pt>
          </c:strCache>
        </c:strRef>
      </c:tx>
      <c:layout>
        <c:manualLayout>
          <c:xMode val="edge"/>
          <c:yMode val="edge"/>
          <c:x val="0.15810719522128697"/>
          <c:y val="4.768002229809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1729185129227"/>
          <c:y val="0.14114915713502829"/>
          <c:w val="0.77307055888724552"/>
          <c:h val="0.613624898015995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1_Curves A_I'!$B$7:$B$20</c:f>
              <c:strCache>
                <c:ptCount val="1"/>
                <c:pt idx="0">
                  <c:v>Fit_C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A_I'!$D$6:$P$6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A_I'!$D$15:$P$15</c:f>
              <c:numCache>
                <c:formatCode>General</c:formatCode>
                <c:ptCount val="13"/>
                <c:pt idx="0">
                  <c:v>7.295094839499626</c:v>
                </c:pt>
                <c:pt idx="1">
                  <c:v>7.2734844551571687</c:v>
                </c:pt>
                <c:pt idx="2">
                  <c:v>7.2368452450591825</c:v>
                </c:pt>
                <c:pt idx="3">
                  <c:v>7.1474375139171071</c:v>
                </c:pt>
                <c:pt idx="4">
                  <c:v>6.9244887069703767</c:v>
                </c:pt>
                <c:pt idx="5">
                  <c:v>6.3429542907651388</c:v>
                </c:pt>
                <c:pt idx="6">
                  <c:v>5.5631333687184572</c:v>
                </c:pt>
                <c:pt idx="7">
                  <c:v>4.6508426512950649</c:v>
                </c:pt>
                <c:pt idx="8">
                  <c:v>3.9991127281092673</c:v>
                </c:pt>
                <c:pt idx="9">
                  <c:v>2.6745711933475262</c:v>
                </c:pt>
                <c:pt idx="10">
                  <c:v>2.1263229413378744</c:v>
                </c:pt>
                <c:pt idx="11">
                  <c:v>0.87718579221232007</c:v>
                </c:pt>
                <c:pt idx="12">
                  <c:v>-0.5075649957431172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93-40F1-B976-491A6B391657}"/>
            </c:ext>
          </c:extLst>
        </c:ser>
        <c:ser>
          <c:idx val="1"/>
          <c:order val="1"/>
          <c:tx>
            <c:strRef>
              <c:f>'Figure 1_Curves A_I'!$B$38:$B$51</c:f>
              <c:strCache>
                <c:ptCount val="1"/>
                <c:pt idx="0">
                  <c:v>Fit_MD</c:v>
                </c:pt>
              </c:strCache>
            </c:strRef>
          </c:tx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A_I'!$D$37:$P$37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A_I'!$D$46:$P$46</c:f>
              <c:numCache>
                <c:formatCode>General</c:formatCode>
                <c:ptCount val="13"/>
                <c:pt idx="0">
                  <c:v>6.6522784457864033</c:v>
                </c:pt>
                <c:pt idx="1">
                  <c:v>6.6519822923484169</c:v>
                </c:pt>
                <c:pt idx="2">
                  <c:v>6.6511340714300138</c:v>
                </c:pt>
                <c:pt idx="3">
                  <c:v>6.6469234212477968</c:v>
                </c:pt>
                <c:pt idx="4">
                  <c:v>6.6265195768691942</c:v>
                </c:pt>
                <c:pt idx="5">
                  <c:v>6.51535890325398</c:v>
                </c:pt>
                <c:pt idx="6">
                  <c:v>6.231831404943363</c:v>
                </c:pt>
                <c:pt idx="7">
                  <c:v>5.7158614959268741</c:v>
                </c:pt>
                <c:pt idx="8">
                  <c:v>5.2285301173847438</c:v>
                </c:pt>
                <c:pt idx="9">
                  <c:v>3.9224280275561019</c:v>
                </c:pt>
                <c:pt idx="10">
                  <c:v>3.268015021605617</c:v>
                </c:pt>
                <c:pt idx="11">
                  <c:v>1.5530577921314108</c:v>
                </c:pt>
                <c:pt idx="12">
                  <c:v>-0.59427661235595342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93-40F1-B976-491A6B391657}"/>
            </c:ext>
          </c:extLst>
        </c:ser>
        <c:ser>
          <c:idx val="2"/>
          <c:order val="2"/>
          <c:tx>
            <c:strRef>
              <c:f>'Figure 1_Curves A_I'!$B$69:$B$82</c:f>
              <c:strCache>
                <c:ptCount val="1"/>
                <c:pt idx="0">
                  <c:v>Fit_SD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1_Curves A_I'!$D$68:$P$68</c:f>
              <c:numCache>
                <c:formatCode>General</c:formatCode>
                <c:ptCount val="13"/>
                <c:pt idx="0">
                  <c:v>2000</c:v>
                </c:pt>
                <c:pt idx="1">
                  <c:v>1500</c:v>
                </c:pt>
                <c:pt idx="2">
                  <c:v>1250</c:v>
                </c:pt>
                <c:pt idx="3">
                  <c:v>1000</c:v>
                </c:pt>
                <c:pt idx="4">
                  <c:v>750</c:v>
                </c:pt>
                <c:pt idx="5">
                  <c:v>500</c:v>
                </c:pt>
                <c:pt idx="6">
                  <c:v>350</c:v>
                </c:pt>
                <c:pt idx="7">
                  <c:v>250</c:v>
                </c:pt>
                <c:pt idx="8">
                  <c:v>200</c:v>
                </c:pt>
                <c:pt idx="9">
                  <c:v>125</c:v>
                </c:pt>
                <c:pt idx="10">
                  <c:v>100</c:v>
                </c:pt>
                <c:pt idx="11">
                  <c:v>50</c:v>
                </c:pt>
                <c:pt idx="12">
                  <c:v>1.0000800000000001E-2</c:v>
                </c:pt>
              </c:numCache>
            </c:numRef>
          </c:xVal>
          <c:yVal>
            <c:numRef>
              <c:f>'Figure 1_Curves A_I'!$D$77:$P$77</c:f>
              <c:numCache>
                <c:formatCode>General</c:formatCode>
                <c:ptCount val="13"/>
                <c:pt idx="0">
                  <c:v>0.37731499017347497</c:v>
                </c:pt>
                <c:pt idx="1">
                  <c:v>0.37731499017347497</c:v>
                </c:pt>
                <c:pt idx="2">
                  <c:v>0.37731499017347497</c:v>
                </c:pt>
                <c:pt idx="3">
                  <c:v>0.37731499017347497</c:v>
                </c:pt>
                <c:pt idx="4">
                  <c:v>0.37731499017347397</c:v>
                </c:pt>
                <c:pt idx="5">
                  <c:v>0.37731499013891973</c:v>
                </c:pt>
                <c:pt idx="6">
                  <c:v>0.37731576340028666</c:v>
                </c:pt>
                <c:pt idx="7">
                  <c:v>0.37730241895951266</c:v>
                </c:pt>
                <c:pt idx="8">
                  <c:v>0.37720370278005055</c:v>
                </c:pt>
                <c:pt idx="9">
                  <c:v>0.37464868406259</c:v>
                </c:pt>
                <c:pt idx="10">
                  <c:v>0.36970742732971562</c:v>
                </c:pt>
                <c:pt idx="11">
                  <c:v>0.32020069113753935</c:v>
                </c:pt>
                <c:pt idx="12">
                  <c:v>-0.35224690558457783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93-40F1-B976-491A6B391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00368"/>
        <c:axId val="1017702768"/>
      </c:scatterChart>
      <c:valAx>
        <c:axId val="1017700368"/>
        <c:scaling>
          <c:orientation val="minMax"/>
          <c:max val="2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[1]ED_42d!$E$1:$E$2</c:f>
              <c:strCache>
                <c:ptCount val="1"/>
                <c:pt idx="0">
                  <c:v>Irradiance, I (µmol photon m⁻² s⁻¹)</c:v>
                </c:pt>
              </c:strCache>
            </c:strRef>
          </c:tx>
          <c:layout>
            <c:manualLayout>
              <c:xMode val="edge"/>
              <c:yMode val="edge"/>
              <c:x val="0.52197664947054034"/>
              <c:y val="0.8191928088634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2768"/>
        <c:crosses val="autoZero"/>
        <c:crossBetween val="midCat"/>
      </c:valAx>
      <c:valAx>
        <c:axId val="101770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1_Curves A_I'!$AC$1</c:f>
              <c:strCache>
                <c:ptCount val="1"/>
                <c:pt idx="0">
                  <c:v>A, µmol CO2 m⁻² s⁻1</c:v>
                </c:pt>
              </c:strCache>
            </c:strRef>
          </c:tx>
          <c:layout>
            <c:manualLayout>
              <c:xMode val="edge"/>
              <c:yMode val="edge"/>
              <c:x val="3.1949308969304258E-2"/>
              <c:y val="0.28347833848704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700368"/>
        <c:crosses val="autoZero"/>
        <c:crossBetween val="midCat"/>
      </c:valAx>
      <c:spPr>
        <a:solidFill>
          <a:srgbClr val="E6E8EA">
            <a:alpha val="80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8269816681E-2"/>
          <c:y val="0.8984002746347417"/>
          <c:w val="0.9"/>
          <c:h val="6.4010312870183259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13" Type="http://schemas.openxmlformats.org/officeDocument/2006/relationships/chart" Target="../charts/chart56.xml"/><Relationship Id="rId18" Type="http://schemas.openxmlformats.org/officeDocument/2006/relationships/chart" Target="../charts/chart61.xml"/><Relationship Id="rId26" Type="http://schemas.openxmlformats.org/officeDocument/2006/relationships/chart" Target="../charts/chart69.xml"/><Relationship Id="rId39" Type="http://schemas.openxmlformats.org/officeDocument/2006/relationships/chart" Target="../charts/chart82.xml"/><Relationship Id="rId3" Type="http://schemas.openxmlformats.org/officeDocument/2006/relationships/chart" Target="../charts/chart46.xml"/><Relationship Id="rId21" Type="http://schemas.openxmlformats.org/officeDocument/2006/relationships/chart" Target="../charts/chart64.xml"/><Relationship Id="rId34" Type="http://schemas.openxmlformats.org/officeDocument/2006/relationships/chart" Target="../charts/chart77.xml"/><Relationship Id="rId42" Type="http://schemas.openxmlformats.org/officeDocument/2006/relationships/chart" Target="../charts/chart85.xml"/><Relationship Id="rId7" Type="http://schemas.openxmlformats.org/officeDocument/2006/relationships/chart" Target="../charts/chart50.xml"/><Relationship Id="rId12" Type="http://schemas.openxmlformats.org/officeDocument/2006/relationships/chart" Target="../charts/chart55.xml"/><Relationship Id="rId17" Type="http://schemas.openxmlformats.org/officeDocument/2006/relationships/chart" Target="../charts/chart60.xml"/><Relationship Id="rId25" Type="http://schemas.openxmlformats.org/officeDocument/2006/relationships/chart" Target="../charts/chart68.xml"/><Relationship Id="rId33" Type="http://schemas.openxmlformats.org/officeDocument/2006/relationships/chart" Target="../charts/chart76.xml"/><Relationship Id="rId38" Type="http://schemas.openxmlformats.org/officeDocument/2006/relationships/chart" Target="../charts/chart81.xml"/><Relationship Id="rId2" Type="http://schemas.openxmlformats.org/officeDocument/2006/relationships/chart" Target="../charts/chart45.xml"/><Relationship Id="rId16" Type="http://schemas.openxmlformats.org/officeDocument/2006/relationships/chart" Target="../charts/chart59.xml"/><Relationship Id="rId20" Type="http://schemas.openxmlformats.org/officeDocument/2006/relationships/chart" Target="../charts/chart63.xml"/><Relationship Id="rId29" Type="http://schemas.openxmlformats.org/officeDocument/2006/relationships/chart" Target="../charts/chart72.xml"/><Relationship Id="rId41" Type="http://schemas.openxmlformats.org/officeDocument/2006/relationships/chart" Target="../charts/chart84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11" Type="http://schemas.openxmlformats.org/officeDocument/2006/relationships/chart" Target="../charts/chart54.xml"/><Relationship Id="rId24" Type="http://schemas.openxmlformats.org/officeDocument/2006/relationships/chart" Target="../charts/chart67.xml"/><Relationship Id="rId32" Type="http://schemas.openxmlformats.org/officeDocument/2006/relationships/chart" Target="../charts/chart75.xml"/><Relationship Id="rId37" Type="http://schemas.openxmlformats.org/officeDocument/2006/relationships/chart" Target="../charts/chart80.xml"/><Relationship Id="rId40" Type="http://schemas.openxmlformats.org/officeDocument/2006/relationships/chart" Target="../charts/chart83.xml"/><Relationship Id="rId5" Type="http://schemas.openxmlformats.org/officeDocument/2006/relationships/chart" Target="../charts/chart48.xml"/><Relationship Id="rId15" Type="http://schemas.openxmlformats.org/officeDocument/2006/relationships/chart" Target="../charts/chart58.xml"/><Relationship Id="rId23" Type="http://schemas.openxmlformats.org/officeDocument/2006/relationships/chart" Target="../charts/chart66.xml"/><Relationship Id="rId28" Type="http://schemas.openxmlformats.org/officeDocument/2006/relationships/chart" Target="../charts/chart71.xml"/><Relationship Id="rId36" Type="http://schemas.openxmlformats.org/officeDocument/2006/relationships/chart" Target="../charts/chart79.xml"/><Relationship Id="rId10" Type="http://schemas.openxmlformats.org/officeDocument/2006/relationships/chart" Target="../charts/chart53.xml"/><Relationship Id="rId19" Type="http://schemas.openxmlformats.org/officeDocument/2006/relationships/chart" Target="../charts/chart62.xml"/><Relationship Id="rId31" Type="http://schemas.openxmlformats.org/officeDocument/2006/relationships/chart" Target="../charts/chart74.xml"/><Relationship Id="rId44" Type="http://schemas.openxmlformats.org/officeDocument/2006/relationships/chart" Target="../charts/chart87.xml"/><Relationship Id="rId4" Type="http://schemas.openxmlformats.org/officeDocument/2006/relationships/chart" Target="../charts/chart47.xml"/><Relationship Id="rId9" Type="http://schemas.openxmlformats.org/officeDocument/2006/relationships/chart" Target="../charts/chart52.xml"/><Relationship Id="rId14" Type="http://schemas.openxmlformats.org/officeDocument/2006/relationships/chart" Target="../charts/chart57.xml"/><Relationship Id="rId22" Type="http://schemas.openxmlformats.org/officeDocument/2006/relationships/chart" Target="../charts/chart65.xml"/><Relationship Id="rId27" Type="http://schemas.openxmlformats.org/officeDocument/2006/relationships/chart" Target="../charts/chart70.xml"/><Relationship Id="rId30" Type="http://schemas.openxmlformats.org/officeDocument/2006/relationships/chart" Target="../charts/chart73.xml"/><Relationship Id="rId35" Type="http://schemas.openxmlformats.org/officeDocument/2006/relationships/chart" Target="../charts/chart78.xml"/><Relationship Id="rId43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4</xdr:row>
      <xdr:rowOff>174625</xdr:rowOff>
    </xdr:from>
    <xdr:to>
      <xdr:col>23</xdr:col>
      <xdr:colOff>47625</xdr:colOff>
      <xdr:row>23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719C36-7B42-407D-97AC-FF30E9747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95250</xdr:colOff>
      <xdr:row>5</xdr:row>
      <xdr:rowOff>0</xdr:rowOff>
    </xdr:from>
    <xdr:to>
      <xdr:col>29</xdr:col>
      <xdr:colOff>127000</xdr:colOff>
      <xdr:row>23</xdr:row>
      <xdr:rowOff>158750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374838-8CC4-4CD3-B6EA-67BEE329A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24</xdr:row>
      <xdr:rowOff>0</xdr:rowOff>
    </xdr:from>
    <xdr:to>
      <xdr:col>23</xdr:col>
      <xdr:colOff>31750</xdr:colOff>
      <xdr:row>42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1E5FD6-195C-41D0-AFCA-E8954D370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79375</xdr:colOff>
      <xdr:row>24</xdr:row>
      <xdr:rowOff>15875</xdr:rowOff>
    </xdr:from>
    <xdr:to>
      <xdr:col>29</xdr:col>
      <xdr:colOff>111125</xdr:colOff>
      <xdr:row>42</xdr:row>
      <xdr:rowOff>174625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2A566D-50F4-4D90-93E3-F8BCAA0AF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43</xdr:row>
      <xdr:rowOff>15875</xdr:rowOff>
    </xdr:from>
    <xdr:to>
      <xdr:col>23</xdr:col>
      <xdr:colOff>31750</xdr:colOff>
      <xdr:row>61</xdr:row>
      <xdr:rowOff>174625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C719F34-10EB-4FB9-B493-3B8B77AB6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79375</xdr:colOff>
      <xdr:row>43</xdr:row>
      <xdr:rowOff>31750</xdr:rowOff>
    </xdr:from>
    <xdr:to>
      <xdr:col>29</xdr:col>
      <xdr:colOff>111125</xdr:colOff>
      <xdr:row>62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64BD07E-49B8-4AB5-8774-7725832C9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746125</xdr:colOff>
      <xdr:row>62</xdr:row>
      <xdr:rowOff>31750</xdr:rowOff>
    </xdr:from>
    <xdr:to>
      <xdr:col>23</xdr:col>
      <xdr:colOff>15875</xdr:colOff>
      <xdr:row>81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7F79617-7559-41BD-8666-006C139AC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63500</xdr:colOff>
      <xdr:row>62</xdr:row>
      <xdr:rowOff>47625</xdr:rowOff>
    </xdr:from>
    <xdr:to>
      <xdr:col>29</xdr:col>
      <xdr:colOff>95250</xdr:colOff>
      <xdr:row>81</xdr:row>
      <xdr:rowOff>15875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2CCB99D-AA56-455D-86D1-E363F9ED6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81</xdr:row>
      <xdr:rowOff>47625</xdr:rowOff>
    </xdr:from>
    <xdr:to>
      <xdr:col>23</xdr:col>
      <xdr:colOff>31750</xdr:colOff>
      <xdr:row>100</xdr:row>
      <xdr:rowOff>15875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92AF5FC-079F-425A-ADBC-9D61F1358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79375</xdr:colOff>
      <xdr:row>81</xdr:row>
      <xdr:rowOff>63500</xdr:rowOff>
    </xdr:from>
    <xdr:to>
      <xdr:col>29</xdr:col>
      <xdr:colOff>111125</xdr:colOff>
      <xdr:row>100</xdr:row>
      <xdr:rowOff>31750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739DBD1-AF5A-400D-ADE2-FAE1D7C79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100</xdr:row>
      <xdr:rowOff>63500</xdr:rowOff>
    </xdr:from>
    <xdr:to>
      <xdr:col>23</xdr:col>
      <xdr:colOff>31750</xdr:colOff>
      <xdr:row>119</xdr:row>
      <xdr:rowOff>31750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CEB7B31-F71C-44C5-B8BA-31F813113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79375</xdr:colOff>
      <xdr:row>100</xdr:row>
      <xdr:rowOff>79375</xdr:rowOff>
    </xdr:from>
    <xdr:to>
      <xdr:col>29</xdr:col>
      <xdr:colOff>111125</xdr:colOff>
      <xdr:row>119</xdr:row>
      <xdr:rowOff>47625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01E2ECD-0468-43A5-B38C-D73CE18AA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746125</xdr:colOff>
      <xdr:row>119</xdr:row>
      <xdr:rowOff>79375</xdr:rowOff>
    </xdr:from>
    <xdr:to>
      <xdr:col>23</xdr:col>
      <xdr:colOff>15875</xdr:colOff>
      <xdr:row>138</xdr:row>
      <xdr:rowOff>47625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9355F74-ABCE-423E-B8EB-9E86C8737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63500</xdr:colOff>
      <xdr:row>119</xdr:row>
      <xdr:rowOff>95250</xdr:rowOff>
    </xdr:from>
    <xdr:to>
      <xdr:col>29</xdr:col>
      <xdr:colOff>95250</xdr:colOff>
      <xdr:row>138</xdr:row>
      <xdr:rowOff>63500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EF58F70-DB2A-4896-A580-E0F5B171A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67</xdr:col>
      <xdr:colOff>95250</xdr:colOff>
      <xdr:row>5</xdr:row>
      <xdr:rowOff>0</xdr:rowOff>
    </xdr:from>
    <xdr:to>
      <xdr:col>73</xdr:col>
      <xdr:colOff>127000</xdr:colOff>
      <xdr:row>23</xdr:row>
      <xdr:rowOff>158750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A6812CB-8A61-43F7-AC06-10F00E23F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61</xdr:col>
      <xdr:colOff>0</xdr:colOff>
      <xdr:row>24</xdr:row>
      <xdr:rowOff>0</xdr:rowOff>
    </xdr:from>
    <xdr:to>
      <xdr:col>67</xdr:col>
      <xdr:colOff>31750</xdr:colOff>
      <xdr:row>42</xdr:row>
      <xdr:rowOff>158750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4546B8D-0EC8-4296-89C7-1A60EA40F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67</xdr:col>
      <xdr:colOff>79375</xdr:colOff>
      <xdr:row>24</xdr:row>
      <xdr:rowOff>15875</xdr:rowOff>
    </xdr:from>
    <xdr:to>
      <xdr:col>73</xdr:col>
      <xdr:colOff>111125</xdr:colOff>
      <xdr:row>42</xdr:row>
      <xdr:rowOff>174625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F988C5E0-44D3-4B5D-B02F-804A5339A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0</xdr:colOff>
      <xdr:row>43</xdr:row>
      <xdr:rowOff>15875</xdr:rowOff>
    </xdr:from>
    <xdr:to>
      <xdr:col>67</xdr:col>
      <xdr:colOff>31750</xdr:colOff>
      <xdr:row>61</xdr:row>
      <xdr:rowOff>174625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EF9871A2-B02D-4086-AFDE-CBC26E832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67</xdr:col>
      <xdr:colOff>79375</xdr:colOff>
      <xdr:row>43</xdr:row>
      <xdr:rowOff>31750</xdr:rowOff>
    </xdr:from>
    <xdr:to>
      <xdr:col>73</xdr:col>
      <xdr:colOff>111125</xdr:colOff>
      <xdr:row>62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1CB114-0657-4A8A-BB83-C704878CD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60</xdr:col>
      <xdr:colOff>746125</xdr:colOff>
      <xdr:row>62</xdr:row>
      <xdr:rowOff>31750</xdr:rowOff>
    </xdr:from>
    <xdr:to>
      <xdr:col>67</xdr:col>
      <xdr:colOff>15875</xdr:colOff>
      <xdr:row>81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9A22CABC-F996-43BA-9E70-31099AE9B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67</xdr:col>
      <xdr:colOff>63499</xdr:colOff>
      <xdr:row>62</xdr:row>
      <xdr:rowOff>47625</xdr:rowOff>
    </xdr:from>
    <xdr:to>
      <xdr:col>73</xdr:col>
      <xdr:colOff>250658</xdr:colOff>
      <xdr:row>81</xdr:row>
      <xdr:rowOff>15875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2F88A474-7E1D-49BE-BDD1-8610831DB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61</xdr:col>
      <xdr:colOff>0</xdr:colOff>
      <xdr:row>81</xdr:row>
      <xdr:rowOff>47625</xdr:rowOff>
    </xdr:from>
    <xdr:to>
      <xdr:col>67</xdr:col>
      <xdr:colOff>31750</xdr:colOff>
      <xdr:row>100</xdr:row>
      <xdr:rowOff>15875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EB67030-AC70-4BD2-AA3D-032A6F741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67</xdr:col>
      <xdr:colOff>79375</xdr:colOff>
      <xdr:row>81</xdr:row>
      <xdr:rowOff>63500</xdr:rowOff>
    </xdr:from>
    <xdr:to>
      <xdr:col>73</xdr:col>
      <xdr:colOff>111125</xdr:colOff>
      <xdr:row>100</xdr:row>
      <xdr:rowOff>31750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EE365D2-4251-4913-BED8-7AB8C99C1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61</xdr:col>
      <xdr:colOff>0</xdr:colOff>
      <xdr:row>100</xdr:row>
      <xdr:rowOff>63500</xdr:rowOff>
    </xdr:from>
    <xdr:to>
      <xdr:col>67</xdr:col>
      <xdr:colOff>31750</xdr:colOff>
      <xdr:row>119</xdr:row>
      <xdr:rowOff>31750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D66DCD0C-6A02-4961-91C6-AD6870EF7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67</xdr:col>
      <xdr:colOff>79375</xdr:colOff>
      <xdr:row>100</xdr:row>
      <xdr:rowOff>79375</xdr:rowOff>
    </xdr:from>
    <xdr:to>
      <xdr:col>73</xdr:col>
      <xdr:colOff>111125</xdr:colOff>
      <xdr:row>119</xdr:row>
      <xdr:rowOff>47625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058B42D-E131-4C39-AC30-45948F429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59</xdr:col>
      <xdr:colOff>495467</xdr:colOff>
      <xdr:row>119</xdr:row>
      <xdr:rowOff>96083</xdr:rowOff>
    </xdr:from>
    <xdr:to>
      <xdr:col>66</xdr:col>
      <xdr:colOff>83553</xdr:colOff>
      <xdr:row>141</xdr:row>
      <xdr:rowOff>116973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143512C-EFB2-42BA-A728-0DD578FA5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67</xdr:col>
      <xdr:colOff>63500</xdr:colOff>
      <xdr:row>119</xdr:row>
      <xdr:rowOff>95250</xdr:rowOff>
    </xdr:from>
    <xdr:to>
      <xdr:col>73</xdr:col>
      <xdr:colOff>95250</xdr:colOff>
      <xdr:row>141</xdr:row>
      <xdr:rowOff>19050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7C33018D-252A-4D27-B641-D1B127DE7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73</xdr:col>
      <xdr:colOff>746125</xdr:colOff>
      <xdr:row>119</xdr:row>
      <xdr:rowOff>79375</xdr:rowOff>
    </xdr:from>
    <xdr:to>
      <xdr:col>74</xdr:col>
      <xdr:colOff>0</xdr:colOff>
      <xdr:row>138</xdr:row>
      <xdr:rowOff>47625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481DCEE0-2966-48F5-98DD-12A30174C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60</xdr:col>
      <xdr:colOff>749157</xdr:colOff>
      <xdr:row>4</xdr:row>
      <xdr:rowOff>181938</xdr:rowOff>
    </xdr:from>
    <xdr:to>
      <xdr:col>67</xdr:col>
      <xdr:colOff>21048</xdr:colOff>
      <xdr:row>23</xdr:row>
      <xdr:rowOff>150188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B1C4CE18-F769-4A5E-B809-F14A40159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46</xdr:col>
      <xdr:colOff>662215</xdr:colOff>
      <xdr:row>5</xdr:row>
      <xdr:rowOff>4535</xdr:rowOff>
    </xdr:from>
    <xdr:to>
      <xdr:col>52</xdr:col>
      <xdr:colOff>591911</xdr:colOff>
      <xdr:row>24</xdr:row>
      <xdr:rowOff>6804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E700FE25-0668-40AB-B78A-8476BD3FC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52</xdr:col>
      <xdr:colOff>639536</xdr:colOff>
      <xdr:row>5</xdr:row>
      <xdr:rowOff>34017</xdr:rowOff>
    </xdr:from>
    <xdr:to>
      <xdr:col>58</xdr:col>
      <xdr:colOff>671286</xdr:colOff>
      <xdr:row>24</xdr:row>
      <xdr:rowOff>22679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21CC2926-81CA-480A-975A-89243F6CA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46</xdr:col>
      <xdr:colOff>646340</xdr:colOff>
      <xdr:row>24</xdr:row>
      <xdr:rowOff>68036</xdr:rowOff>
    </xdr:from>
    <xdr:to>
      <xdr:col>52</xdr:col>
      <xdr:colOff>576036</xdr:colOff>
      <xdr:row>43</xdr:row>
      <xdr:rowOff>22678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7FAB04-B2DB-41C9-89EB-F270F0035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52</xdr:col>
      <xdr:colOff>623661</xdr:colOff>
      <xdr:row>24</xdr:row>
      <xdr:rowOff>83911</xdr:rowOff>
    </xdr:from>
    <xdr:to>
      <xdr:col>58</xdr:col>
      <xdr:colOff>655411</xdr:colOff>
      <xdr:row>43</xdr:row>
      <xdr:rowOff>38553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14723E-79A5-4CD0-B85D-80DBD3DA1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46</xdr:col>
      <xdr:colOff>646340</xdr:colOff>
      <xdr:row>43</xdr:row>
      <xdr:rowOff>83910</xdr:rowOff>
    </xdr:from>
    <xdr:to>
      <xdr:col>52</xdr:col>
      <xdr:colOff>576036</xdr:colOff>
      <xdr:row>62</xdr:row>
      <xdr:rowOff>38553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1D148643-CE2B-4107-8FB1-9E44F2067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52</xdr:col>
      <xdr:colOff>623661</xdr:colOff>
      <xdr:row>43</xdr:row>
      <xdr:rowOff>99785</xdr:rowOff>
    </xdr:from>
    <xdr:to>
      <xdr:col>58</xdr:col>
      <xdr:colOff>655411</xdr:colOff>
      <xdr:row>62</xdr:row>
      <xdr:rowOff>68035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349C835-31F8-4CB9-A906-829473020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46</xdr:col>
      <xdr:colOff>542018</xdr:colOff>
      <xdr:row>62</xdr:row>
      <xdr:rowOff>99785</xdr:rowOff>
    </xdr:from>
    <xdr:to>
      <xdr:col>52</xdr:col>
      <xdr:colOff>560161</xdr:colOff>
      <xdr:row>81</xdr:row>
      <xdr:rowOff>68036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69DC2001-F19B-4319-B546-FC504A5BA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52</xdr:col>
      <xdr:colOff>607786</xdr:colOff>
      <xdr:row>62</xdr:row>
      <xdr:rowOff>115660</xdr:rowOff>
    </xdr:from>
    <xdr:to>
      <xdr:col>58</xdr:col>
      <xdr:colOff>639536</xdr:colOff>
      <xdr:row>81</xdr:row>
      <xdr:rowOff>83911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3F6F57C1-12B9-43C9-9991-9F6F55EE8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46</xdr:col>
      <xdr:colOff>646340</xdr:colOff>
      <xdr:row>81</xdr:row>
      <xdr:rowOff>115661</xdr:rowOff>
    </xdr:from>
    <xdr:to>
      <xdr:col>52</xdr:col>
      <xdr:colOff>576036</xdr:colOff>
      <xdr:row>100</xdr:row>
      <xdr:rowOff>83911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6AB74A75-288D-4431-89EE-00FF68B86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52</xdr:col>
      <xdr:colOff>623661</xdr:colOff>
      <xdr:row>81</xdr:row>
      <xdr:rowOff>131536</xdr:rowOff>
    </xdr:from>
    <xdr:to>
      <xdr:col>58</xdr:col>
      <xdr:colOff>655411</xdr:colOff>
      <xdr:row>100</xdr:row>
      <xdr:rowOff>99786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79C7F34-4B08-4FA6-BE8F-147E037BF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46</xdr:col>
      <xdr:colOff>646340</xdr:colOff>
      <xdr:row>100</xdr:row>
      <xdr:rowOff>131536</xdr:rowOff>
    </xdr:from>
    <xdr:to>
      <xdr:col>52</xdr:col>
      <xdr:colOff>576036</xdr:colOff>
      <xdr:row>119</xdr:row>
      <xdr:rowOff>99785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536EB272-3DBE-4363-832E-2CA1E1C2A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52</xdr:col>
      <xdr:colOff>623661</xdr:colOff>
      <xdr:row>100</xdr:row>
      <xdr:rowOff>147411</xdr:rowOff>
    </xdr:from>
    <xdr:to>
      <xdr:col>58</xdr:col>
      <xdr:colOff>655411</xdr:colOff>
      <xdr:row>119</xdr:row>
      <xdr:rowOff>115660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452A51F8-0474-4EE0-9AAD-D2051909C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46</xdr:col>
      <xdr:colOff>542018</xdr:colOff>
      <xdr:row>119</xdr:row>
      <xdr:rowOff>147410</xdr:rowOff>
    </xdr:from>
    <xdr:to>
      <xdr:col>52</xdr:col>
      <xdr:colOff>560161</xdr:colOff>
      <xdr:row>138</xdr:row>
      <xdr:rowOff>115660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C7D7FFE0-3F45-4C6C-87C8-39CBC00AE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52</xdr:col>
      <xdr:colOff>607786</xdr:colOff>
      <xdr:row>119</xdr:row>
      <xdr:rowOff>163285</xdr:rowOff>
    </xdr:from>
    <xdr:to>
      <xdr:col>58</xdr:col>
      <xdr:colOff>639536</xdr:colOff>
      <xdr:row>138</xdr:row>
      <xdr:rowOff>131535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D362B6D2-B357-4A5C-B30B-C779DAE09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4</xdr:row>
      <xdr:rowOff>174625</xdr:rowOff>
    </xdr:from>
    <xdr:to>
      <xdr:col>23</xdr:col>
      <xdr:colOff>47625</xdr:colOff>
      <xdr:row>23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46E789-1379-4A64-A953-12A369BDC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95250</xdr:colOff>
      <xdr:row>5</xdr:row>
      <xdr:rowOff>0</xdr:rowOff>
    </xdr:from>
    <xdr:to>
      <xdr:col>29</xdr:col>
      <xdr:colOff>127000</xdr:colOff>
      <xdr:row>23</xdr:row>
      <xdr:rowOff>158750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3546A6-E7A2-437B-870D-72C1DA2A3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24</xdr:row>
      <xdr:rowOff>0</xdr:rowOff>
    </xdr:from>
    <xdr:to>
      <xdr:col>23</xdr:col>
      <xdr:colOff>31750</xdr:colOff>
      <xdr:row>42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951C6F2-1B2D-4131-BB68-F7F99EB19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79375</xdr:colOff>
      <xdr:row>24</xdr:row>
      <xdr:rowOff>15875</xdr:rowOff>
    </xdr:from>
    <xdr:to>
      <xdr:col>29</xdr:col>
      <xdr:colOff>111125</xdr:colOff>
      <xdr:row>42</xdr:row>
      <xdr:rowOff>174625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9BF763-D8A7-4354-AF15-06E08E2BD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43</xdr:row>
      <xdr:rowOff>15875</xdr:rowOff>
    </xdr:from>
    <xdr:to>
      <xdr:col>23</xdr:col>
      <xdr:colOff>31750</xdr:colOff>
      <xdr:row>61</xdr:row>
      <xdr:rowOff>174625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18770D3-7981-438C-B15B-15979EABA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79375</xdr:colOff>
      <xdr:row>43</xdr:row>
      <xdr:rowOff>31750</xdr:rowOff>
    </xdr:from>
    <xdr:to>
      <xdr:col>29</xdr:col>
      <xdr:colOff>111125</xdr:colOff>
      <xdr:row>62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13B6526-880C-4D45-8001-E522DBA07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746125</xdr:colOff>
      <xdr:row>62</xdr:row>
      <xdr:rowOff>31750</xdr:rowOff>
    </xdr:from>
    <xdr:to>
      <xdr:col>23</xdr:col>
      <xdr:colOff>15875</xdr:colOff>
      <xdr:row>81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363063B-F641-4D40-968A-DB268682B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63500</xdr:colOff>
      <xdr:row>62</xdr:row>
      <xdr:rowOff>47625</xdr:rowOff>
    </xdr:from>
    <xdr:to>
      <xdr:col>29</xdr:col>
      <xdr:colOff>95250</xdr:colOff>
      <xdr:row>81</xdr:row>
      <xdr:rowOff>15875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AF29A27-0505-4861-9CF1-782BDF45C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81</xdr:row>
      <xdr:rowOff>47625</xdr:rowOff>
    </xdr:from>
    <xdr:to>
      <xdr:col>23</xdr:col>
      <xdr:colOff>31750</xdr:colOff>
      <xdr:row>100</xdr:row>
      <xdr:rowOff>15875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E50E496-CC30-4385-AF9B-E8FD937B4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79375</xdr:colOff>
      <xdr:row>81</xdr:row>
      <xdr:rowOff>63500</xdr:rowOff>
    </xdr:from>
    <xdr:to>
      <xdr:col>29</xdr:col>
      <xdr:colOff>111125</xdr:colOff>
      <xdr:row>100</xdr:row>
      <xdr:rowOff>31750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B225DBE-B04B-4EF7-965A-130BDC636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100</xdr:row>
      <xdr:rowOff>63500</xdr:rowOff>
    </xdr:from>
    <xdr:to>
      <xdr:col>23</xdr:col>
      <xdr:colOff>31750</xdr:colOff>
      <xdr:row>119</xdr:row>
      <xdr:rowOff>31750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F48C1E7-2379-4167-8C52-BBE5F96A9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79375</xdr:colOff>
      <xdr:row>100</xdr:row>
      <xdr:rowOff>79375</xdr:rowOff>
    </xdr:from>
    <xdr:to>
      <xdr:col>29</xdr:col>
      <xdr:colOff>111125</xdr:colOff>
      <xdr:row>119</xdr:row>
      <xdr:rowOff>47625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BCFEC58-8935-4832-841E-BAE4C68CB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746125</xdr:colOff>
      <xdr:row>119</xdr:row>
      <xdr:rowOff>79375</xdr:rowOff>
    </xdr:from>
    <xdr:to>
      <xdr:col>23</xdr:col>
      <xdr:colOff>15875</xdr:colOff>
      <xdr:row>138</xdr:row>
      <xdr:rowOff>47625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FF717EC-BDB2-4218-96EA-0B6411942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63500</xdr:colOff>
      <xdr:row>119</xdr:row>
      <xdr:rowOff>95250</xdr:rowOff>
    </xdr:from>
    <xdr:to>
      <xdr:col>29</xdr:col>
      <xdr:colOff>95250</xdr:colOff>
      <xdr:row>138</xdr:row>
      <xdr:rowOff>63500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C3B54B7-1E42-48CE-96A3-E0EFCDA24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15875</xdr:colOff>
      <xdr:row>4</xdr:row>
      <xdr:rowOff>174625</xdr:rowOff>
    </xdr:from>
    <xdr:to>
      <xdr:col>53</xdr:col>
      <xdr:colOff>47625</xdr:colOff>
      <xdr:row>23</xdr:row>
      <xdr:rowOff>142875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98A4964-B4B2-47E3-B35A-296CD6F95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53</xdr:col>
      <xdr:colOff>95250</xdr:colOff>
      <xdr:row>5</xdr:row>
      <xdr:rowOff>0</xdr:rowOff>
    </xdr:from>
    <xdr:to>
      <xdr:col>59</xdr:col>
      <xdr:colOff>127000</xdr:colOff>
      <xdr:row>23</xdr:row>
      <xdr:rowOff>158750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63F2FBE-FA96-4F35-935B-B77FC15FF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47</xdr:col>
      <xdr:colOff>0</xdr:colOff>
      <xdr:row>24</xdr:row>
      <xdr:rowOff>0</xdr:rowOff>
    </xdr:from>
    <xdr:to>
      <xdr:col>53</xdr:col>
      <xdr:colOff>31750</xdr:colOff>
      <xdr:row>42</xdr:row>
      <xdr:rowOff>158750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CB5C4894-2735-452E-B2BC-0388A820A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53</xdr:col>
      <xdr:colOff>79375</xdr:colOff>
      <xdr:row>24</xdr:row>
      <xdr:rowOff>15875</xdr:rowOff>
    </xdr:from>
    <xdr:to>
      <xdr:col>59</xdr:col>
      <xdr:colOff>111125</xdr:colOff>
      <xdr:row>42</xdr:row>
      <xdr:rowOff>174625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536D0368-8C65-4278-A78A-D20DB0E8E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47</xdr:col>
      <xdr:colOff>0</xdr:colOff>
      <xdr:row>43</xdr:row>
      <xdr:rowOff>15875</xdr:rowOff>
    </xdr:from>
    <xdr:to>
      <xdr:col>53</xdr:col>
      <xdr:colOff>31750</xdr:colOff>
      <xdr:row>61</xdr:row>
      <xdr:rowOff>174625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216019B-1789-4A62-948E-20901E6AB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53</xdr:col>
      <xdr:colOff>79375</xdr:colOff>
      <xdr:row>43</xdr:row>
      <xdr:rowOff>31750</xdr:rowOff>
    </xdr:from>
    <xdr:to>
      <xdr:col>59</xdr:col>
      <xdr:colOff>111125</xdr:colOff>
      <xdr:row>62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CF64AF75-71F6-4646-B9CE-F1AA98FAE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46</xdr:col>
      <xdr:colOff>746125</xdr:colOff>
      <xdr:row>62</xdr:row>
      <xdr:rowOff>31750</xdr:rowOff>
    </xdr:from>
    <xdr:to>
      <xdr:col>53</xdr:col>
      <xdr:colOff>15875</xdr:colOff>
      <xdr:row>81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4F4B5267-FB0D-4D33-A538-0376383F5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53</xdr:col>
      <xdr:colOff>63500</xdr:colOff>
      <xdr:row>62</xdr:row>
      <xdr:rowOff>47625</xdr:rowOff>
    </xdr:from>
    <xdr:to>
      <xdr:col>59</xdr:col>
      <xdr:colOff>95250</xdr:colOff>
      <xdr:row>81</xdr:row>
      <xdr:rowOff>15875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4F64BD02-2005-475E-86C2-B3932B3A1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47</xdr:col>
      <xdr:colOff>0</xdr:colOff>
      <xdr:row>81</xdr:row>
      <xdr:rowOff>47625</xdr:rowOff>
    </xdr:from>
    <xdr:to>
      <xdr:col>53</xdr:col>
      <xdr:colOff>31750</xdr:colOff>
      <xdr:row>100</xdr:row>
      <xdr:rowOff>15875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47E02BEB-820C-4AD4-86CE-5228FFD88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53</xdr:col>
      <xdr:colOff>79375</xdr:colOff>
      <xdr:row>81</xdr:row>
      <xdr:rowOff>63500</xdr:rowOff>
    </xdr:from>
    <xdr:to>
      <xdr:col>59</xdr:col>
      <xdr:colOff>111125</xdr:colOff>
      <xdr:row>100</xdr:row>
      <xdr:rowOff>31750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CE3F419-D632-4298-B362-09C8E170B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47</xdr:col>
      <xdr:colOff>0</xdr:colOff>
      <xdr:row>100</xdr:row>
      <xdr:rowOff>63500</xdr:rowOff>
    </xdr:from>
    <xdr:to>
      <xdr:col>53</xdr:col>
      <xdr:colOff>31750</xdr:colOff>
      <xdr:row>119</xdr:row>
      <xdr:rowOff>31750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51BAE2C4-8286-4E0A-B7BD-C6ABB7B15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53</xdr:col>
      <xdr:colOff>79375</xdr:colOff>
      <xdr:row>100</xdr:row>
      <xdr:rowOff>79375</xdr:rowOff>
    </xdr:from>
    <xdr:to>
      <xdr:col>59</xdr:col>
      <xdr:colOff>111125</xdr:colOff>
      <xdr:row>119</xdr:row>
      <xdr:rowOff>47625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DECF012C-92C1-48C1-9D8A-633686E2A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46</xdr:col>
      <xdr:colOff>746125</xdr:colOff>
      <xdr:row>119</xdr:row>
      <xdr:rowOff>79375</xdr:rowOff>
    </xdr:from>
    <xdr:to>
      <xdr:col>53</xdr:col>
      <xdr:colOff>15875</xdr:colOff>
      <xdr:row>138</xdr:row>
      <xdr:rowOff>47625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48F33321-3AF0-4DAB-9770-C639B58A9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53</xdr:col>
      <xdr:colOff>63500</xdr:colOff>
      <xdr:row>119</xdr:row>
      <xdr:rowOff>95250</xdr:rowOff>
    </xdr:from>
    <xdr:to>
      <xdr:col>59</xdr:col>
      <xdr:colOff>95250</xdr:colOff>
      <xdr:row>138</xdr:row>
      <xdr:rowOff>63500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67B1F7F2-E4B1-4426-9999-5D4CD86C7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67</xdr:col>
      <xdr:colOff>95250</xdr:colOff>
      <xdr:row>5</xdr:row>
      <xdr:rowOff>0</xdr:rowOff>
    </xdr:from>
    <xdr:to>
      <xdr:col>73</xdr:col>
      <xdr:colOff>127000</xdr:colOff>
      <xdr:row>23</xdr:row>
      <xdr:rowOff>158750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DCB8998A-80BF-44B5-947E-677AAAB83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61</xdr:col>
      <xdr:colOff>0</xdr:colOff>
      <xdr:row>24</xdr:row>
      <xdr:rowOff>0</xdr:rowOff>
    </xdr:from>
    <xdr:to>
      <xdr:col>67</xdr:col>
      <xdr:colOff>31750</xdr:colOff>
      <xdr:row>42</xdr:row>
      <xdr:rowOff>158750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A2667AF1-7833-45EE-8B49-9B712DCB0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67</xdr:col>
      <xdr:colOff>79375</xdr:colOff>
      <xdr:row>24</xdr:row>
      <xdr:rowOff>15875</xdr:rowOff>
    </xdr:from>
    <xdr:to>
      <xdr:col>73</xdr:col>
      <xdr:colOff>111125</xdr:colOff>
      <xdr:row>42</xdr:row>
      <xdr:rowOff>174625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5D032546-E4D2-4E84-9D55-633D0488C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61</xdr:col>
      <xdr:colOff>0</xdr:colOff>
      <xdr:row>43</xdr:row>
      <xdr:rowOff>15875</xdr:rowOff>
    </xdr:from>
    <xdr:to>
      <xdr:col>67</xdr:col>
      <xdr:colOff>31750</xdr:colOff>
      <xdr:row>61</xdr:row>
      <xdr:rowOff>174625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49ABC0F5-C800-4BA1-823C-DE8C7F2BD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67</xdr:col>
      <xdr:colOff>79375</xdr:colOff>
      <xdr:row>43</xdr:row>
      <xdr:rowOff>31750</xdr:rowOff>
    </xdr:from>
    <xdr:to>
      <xdr:col>73</xdr:col>
      <xdr:colOff>111125</xdr:colOff>
      <xdr:row>62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49C452AA-AA43-4239-8569-7F534FE1E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60</xdr:col>
      <xdr:colOff>746125</xdr:colOff>
      <xdr:row>62</xdr:row>
      <xdr:rowOff>31750</xdr:rowOff>
    </xdr:from>
    <xdr:to>
      <xdr:col>67</xdr:col>
      <xdr:colOff>15875</xdr:colOff>
      <xdr:row>81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2D274988-BEFF-4FA6-8A49-6EF094D78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67</xdr:col>
      <xdr:colOff>63500</xdr:colOff>
      <xdr:row>62</xdr:row>
      <xdr:rowOff>47625</xdr:rowOff>
    </xdr:from>
    <xdr:to>
      <xdr:col>73</xdr:col>
      <xdr:colOff>95250</xdr:colOff>
      <xdr:row>81</xdr:row>
      <xdr:rowOff>15875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B7184DF8-7082-4B85-A698-D81BA9440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61</xdr:col>
      <xdr:colOff>0</xdr:colOff>
      <xdr:row>81</xdr:row>
      <xdr:rowOff>47625</xdr:rowOff>
    </xdr:from>
    <xdr:to>
      <xdr:col>67</xdr:col>
      <xdr:colOff>31750</xdr:colOff>
      <xdr:row>100</xdr:row>
      <xdr:rowOff>15875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C0380C35-C80F-4D4D-B50A-14105A2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67</xdr:col>
      <xdr:colOff>79375</xdr:colOff>
      <xdr:row>81</xdr:row>
      <xdr:rowOff>63500</xdr:rowOff>
    </xdr:from>
    <xdr:to>
      <xdr:col>73</xdr:col>
      <xdr:colOff>111125</xdr:colOff>
      <xdr:row>100</xdr:row>
      <xdr:rowOff>31750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C089F753-C1D7-4FB0-9439-32957D6D9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61</xdr:col>
      <xdr:colOff>0</xdr:colOff>
      <xdr:row>100</xdr:row>
      <xdr:rowOff>63500</xdr:rowOff>
    </xdr:from>
    <xdr:to>
      <xdr:col>67</xdr:col>
      <xdr:colOff>31750</xdr:colOff>
      <xdr:row>119</xdr:row>
      <xdr:rowOff>31750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AF890B07-6709-4555-9E5D-BB3D9DDE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67</xdr:col>
      <xdr:colOff>79375</xdr:colOff>
      <xdr:row>100</xdr:row>
      <xdr:rowOff>79375</xdr:rowOff>
    </xdr:from>
    <xdr:to>
      <xdr:col>73</xdr:col>
      <xdr:colOff>111125</xdr:colOff>
      <xdr:row>119</xdr:row>
      <xdr:rowOff>47625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2EC9B54D-ECC0-4992-B934-F58787000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60</xdr:col>
      <xdr:colOff>746125</xdr:colOff>
      <xdr:row>119</xdr:row>
      <xdr:rowOff>79374</xdr:rowOff>
    </xdr:from>
    <xdr:to>
      <xdr:col>67</xdr:col>
      <xdr:colOff>15875</xdr:colOff>
      <xdr:row>141</xdr:row>
      <xdr:rowOff>-1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DF706988-D9FF-4D7E-BFD3-4288DEC4D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67</xdr:col>
      <xdr:colOff>63500</xdr:colOff>
      <xdr:row>119</xdr:row>
      <xdr:rowOff>95250</xdr:rowOff>
    </xdr:from>
    <xdr:to>
      <xdr:col>73</xdr:col>
      <xdr:colOff>95250</xdr:colOff>
      <xdr:row>141</xdr:row>
      <xdr:rowOff>19050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12863271-C91D-41DA-9BC6-6BD17DF6F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73</xdr:col>
      <xdr:colOff>746125</xdr:colOff>
      <xdr:row>62</xdr:row>
      <xdr:rowOff>31750</xdr:rowOff>
    </xdr:from>
    <xdr:to>
      <xdr:col>74</xdr:col>
      <xdr:colOff>0</xdr:colOff>
      <xdr:row>81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7DE27A60-DC7B-4004-8F39-8136C9E1A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73</xdr:col>
      <xdr:colOff>746125</xdr:colOff>
      <xdr:row>119</xdr:row>
      <xdr:rowOff>79375</xdr:rowOff>
    </xdr:from>
    <xdr:to>
      <xdr:col>74</xdr:col>
      <xdr:colOff>0</xdr:colOff>
      <xdr:row>138</xdr:row>
      <xdr:rowOff>47625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F84DBB9-4DEF-456D-A659-15453AEB4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60</xdr:col>
      <xdr:colOff>749157</xdr:colOff>
      <xdr:row>4</xdr:row>
      <xdr:rowOff>181938</xdr:rowOff>
    </xdr:from>
    <xdr:to>
      <xdr:col>67</xdr:col>
      <xdr:colOff>21048</xdr:colOff>
      <xdr:row>23</xdr:row>
      <xdr:rowOff>150188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B78E4D30-C353-457A-86CC-1F64C3266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yecto_Gene4Olive\Experimento_Sequia\Curvas%20luz_nuevo\Datos_analisis%20estad&#237;sticos\Curvas_ISAT_Amax_alpha_Rd_0809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yecto_Gene4Olive\Experimento_Sequia\Curvas%20luz_nuevo\Datos_analisis%20estad&#237;sticos\Curvas_ISAT_ETR_teor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D_7d"/>
      <sheetName val="MD_14d"/>
      <sheetName val="MD_21d"/>
      <sheetName val="SD_28d"/>
      <sheetName val="SD_35d"/>
      <sheetName val="ED_42d"/>
      <sheetName val="Table"/>
      <sheetName val="Fit Curves A_I"/>
      <sheetName val="Experimental Curves A_I"/>
      <sheetName val="Article Curves A_I"/>
      <sheetName val="Difference_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E1" t="str">
            <v>Irradiance, I</v>
          </cell>
        </row>
        <row r="2">
          <cell r="E2" t="str">
            <v>(µmol photon m⁻² s⁻¹)</v>
          </cell>
        </row>
      </sheetData>
      <sheetData sheetId="7" refreshError="1"/>
      <sheetData sheetId="8" refreshError="1"/>
      <sheetData sheetId="9">
        <row r="2">
          <cell r="BE2">
            <v>2000</v>
          </cell>
          <cell r="BF2">
            <v>1500</v>
          </cell>
          <cell r="BG2">
            <v>1250</v>
          </cell>
          <cell r="BH2">
            <v>1000</v>
          </cell>
          <cell r="BI2">
            <v>750</v>
          </cell>
          <cell r="BJ2">
            <v>500</v>
          </cell>
          <cell r="BK2">
            <v>350</v>
          </cell>
          <cell r="BL2">
            <v>250</v>
          </cell>
          <cell r="BM2">
            <v>200</v>
          </cell>
          <cell r="BN2">
            <v>125</v>
          </cell>
          <cell r="BO2">
            <v>100</v>
          </cell>
          <cell r="BP2">
            <v>50</v>
          </cell>
          <cell r="BQ2">
            <v>1.0000800000000001E-2</v>
          </cell>
        </row>
        <row r="3">
          <cell r="BC3" t="str">
            <v>Experimental_C</v>
          </cell>
          <cell r="BD3" t="str">
            <v>Arbequina</v>
          </cell>
          <cell r="BE3">
            <v>10.270608035413296</v>
          </cell>
          <cell r="BF3">
            <v>10.371800623029175</v>
          </cell>
          <cell r="BG3">
            <v>10.539886147769975</v>
          </cell>
          <cell r="BH3">
            <v>10.356396888648785</v>
          </cell>
          <cell r="BI3">
            <v>10.056462066178772</v>
          </cell>
          <cell r="BJ3">
            <v>9.1150981069635613</v>
          </cell>
          <cell r="BK3">
            <v>8.3487680085088893</v>
          </cell>
          <cell r="BL3" t="e">
            <v>#N/A</v>
          </cell>
          <cell r="BM3">
            <v>6.5235105665596791</v>
          </cell>
          <cell r="BN3" t="e">
            <v>#N/A</v>
          </cell>
          <cell r="BO3">
            <v>3.8902826885193265</v>
          </cell>
          <cell r="BP3">
            <v>1.4432539523409955</v>
          </cell>
          <cell r="BQ3">
            <v>-1.4828618567292016</v>
          </cell>
        </row>
        <row r="4">
          <cell r="BD4" t="str">
            <v>Arbosana</v>
          </cell>
          <cell r="BE4">
            <v>8.3789614837812394</v>
          </cell>
          <cell r="BF4">
            <v>8.66000757451196</v>
          </cell>
          <cell r="BG4">
            <v>8.6881887032992875</v>
          </cell>
          <cell r="BH4">
            <v>8.4260829067976601</v>
          </cell>
          <cell r="BI4">
            <v>7.9375734871100816</v>
          </cell>
          <cell r="BJ4">
            <v>7.1588395062093033</v>
          </cell>
          <cell r="BK4">
            <v>6.3635372499656961</v>
          </cell>
          <cell r="BL4" t="e">
            <v>#N/A</v>
          </cell>
          <cell r="BM4">
            <v>5.0302685694601097</v>
          </cell>
          <cell r="BN4" t="e">
            <v>#N/A</v>
          </cell>
          <cell r="BO4">
            <v>3.0046955595843063</v>
          </cell>
          <cell r="BP4">
            <v>1.1602380068529401</v>
          </cell>
          <cell r="BQ4">
            <v>-1.4435080489381633</v>
          </cell>
        </row>
        <row r="5">
          <cell r="BD5" t="str">
            <v>Cornicabra</v>
          </cell>
          <cell r="BE5">
            <v>10.409900666666667</v>
          </cell>
          <cell r="BF5">
            <v>11.451877999999999</v>
          </cell>
          <cell r="BG5">
            <v>11.490725666666668</v>
          </cell>
          <cell r="BH5">
            <v>11.112710999999999</v>
          </cell>
          <cell r="BI5">
            <v>10.546499666666667</v>
          </cell>
          <cell r="BJ5">
            <v>9.6657216666666663</v>
          </cell>
          <cell r="BK5">
            <v>8.6547896666666677</v>
          </cell>
          <cell r="BL5" t="e">
            <v>#N/A</v>
          </cell>
          <cell r="BM5">
            <v>6.7748143333333344</v>
          </cell>
          <cell r="BN5" t="e">
            <v>#N/A</v>
          </cell>
          <cell r="BO5">
            <v>3.9402193333333333</v>
          </cell>
          <cell r="BP5">
            <v>1.6555799999999998</v>
          </cell>
          <cell r="BQ5">
            <v>-0.91044999999999998</v>
          </cell>
        </row>
        <row r="6">
          <cell r="BD6" t="str">
            <v>Chemlali</v>
          </cell>
          <cell r="BE6">
            <v>14.383604345049134</v>
          </cell>
          <cell r="BF6">
            <v>15.175424044757699</v>
          </cell>
          <cell r="BG6">
            <v>15.284244759247066</v>
          </cell>
          <cell r="BH6">
            <v>14.797022873306801</v>
          </cell>
          <cell r="BI6">
            <v>14.396349894770498</v>
          </cell>
          <cell r="BJ6">
            <v>13.184164203050234</v>
          </cell>
          <cell r="BK6">
            <v>12.146087052293666</v>
          </cell>
          <cell r="BL6" t="e">
            <v>#N/A</v>
          </cell>
          <cell r="BM6">
            <v>9.2607618465026729</v>
          </cell>
          <cell r="BN6" t="e">
            <v>#N/A</v>
          </cell>
          <cell r="BO6">
            <v>5.0442974917369066</v>
          </cell>
          <cell r="BP6">
            <v>2.1849843124964168</v>
          </cell>
          <cell r="BQ6">
            <v>-1.1531476726066179</v>
          </cell>
        </row>
        <row r="7">
          <cell r="BD7" t="str">
            <v>Cornezuelo de Jaén</v>
          </cell>
          <cell r="BE7">
            <v>3.8360235375</v>
          </cell>
          <cell r="BF7">
            <v>3.9550565541666662</v>
          </cell>
          <cell r="BG7">
            <v>3.997424520833333</v>
          </cell>
          <cell r="BH7">
            <v>3.734972908333333</v>
          </cell>
          <cell r="BI7">
            <v>3.5478702874999994</v>
          </cell>
          <cell r="BJ7">
            <v>3.2596724416666669</v>
          </cell>
          <cell r="BK7">
            <v>2.9620661583333332</v>
          </cell>
          <cell r="BL7" t="e">
            <v>#N/A</v>
          </cell>
          <cell r="BM7">
            <v>2.5753882000000003</v>
          </cell>
          <cell r="BN7" t="e">
            <v>#N/A</v>
          </cell>
          <cell r="BO7">
            <v>1.8847633291666668</v>
          </cell>
          <cell r="BP7">
            <v>1.0583316333333332</v>
          </cell>
          <cell r="BQ7">
            <v>-1.1259677916666668</v>
          </cell>
        </row>
        <row r="8">
          <cell r="BD8" t="str">
            <v>Empeltre</v>
          </cell>
          <cell r="BE8">
            <v>12.443235666666666</v>
          </cell>
          <cell r="BF8">
            <v>13.46054</v>
          </cell>
          <cell r="BG8">
            <v>13.306916666666666</v>
          </cell>
          <cell r="BH8">
            <v>13.124483333333336</v>
          </cell>
          <cell r="BI8">
            <v>12.602886666666668</v>
          </cell>
          <cell r="BJ8">
            <v>11.770449999999999</v>
          </cell>
          <cell r="BK8">
            <v>10.714729</v>
          </cell>
          <cell r="BL8" t="e">
            <v>#N/A</v>
          </cell>
          <cell r="BM8">
            <v>8.5626630000000006</v>
          </cell>
          <cell r="BN8" t="e">
            <v>#N/A</v>
          </cell>
          <cell r="BO8">
            <v>4.9301550000000001</v>
          </cell>
          <cell r="BP8">
            <v>2.2101640000000002</v>
          </cell>
          <cell r="BQ8">
            <v>-0.88532333333333335</v>
          </cell>
        </row>
        <row r="9">
          <cell r="BD9" t="str">
            <v>Frantoio</v>
          </cell>
          <cell r="BE9">
            <v>2.758376133333333</v>
          </cell>
          <cell r="BF9">
            <v>2.2924029333333333</v>
          </cell>
          <cell r="BG9">
            <v>2.1505159958333335</v>
          </cell>
          <cell r="BH9">
            <v>2.004207333333333</v>
          </cell>
          <cell r="BI9">
            <v>1.7530294833333335</v>
          </cell>
          <cell r="BJ9">
            <v>1.5546312833333331</v>
          </cell>
          <cell r="BK9">
            <v>1.4075930458333332</v>
          </cell>
          <cell r="BL9" t="e">
            <v>#N/A</v>
          </cell>
          <cell r="BM9">
            <v>1.1450852874999999</v>
          </cell>
          <cell r="BN9" t="e">
            <v>#N/A</v>
          </cell>
          <cell r="BO9">
            <v>0.82461994999999999</v>
          </cell>
          <cell r="BP9">
            <v>0.33632894166666671</v>
          </cell>
          <cell r="BQ9">
            <v>-1.3433869166666668</v>
          </cell>
        </row>
        <row r="10">
          <cell r="BD10" t="str">
            <v>Hojiblanca</v>
          </cell>
          <cell r="BE10">
            <v>11.714339109375</v>
          </cell>
          <cell r="BF10">
            <v>11.843425781250001</v>
          </cell>
          <cell r="BG10">
            <v>11.486712562499999</v>
          </cell>
          <cell r="BH10">
            <v>11.062438734375</v>
          </cell>
          <cell r="BI10">
            <v>10.231680375</v>
          </cell>
          <cell r="BJ10">
            <v>9.2682643593749994</v>
          </cell>
          <cell r="BK10">
            <v>8.0143435312499989</v>
          </cell>
          <cell r="BL10" t="e">
            <v>#N/A</v>
          </cell>
          <cell r="BM10">
            <v>6.398798109374999</v>
          </cell>
          <cell r="BN10" t="e">
            <v>#N/A</v>
          </cell>
          <cell r="BO10">
            <v>3.5707517343750004</v>
          </cell>
          <cell r="BP10">
            <v>1.4499361406250002</v>
          </cell>
          <cell r="BQ10">
            <v>-1.0946578124999999</v>
          </cell>
        </row>
        <row r="11">
          <cell r="BD11" t="str">
            <v>Koroneiki</v>
          </cell>
          <cell r="BE11">
            <v>6.9000395624999999</v>
          </cell>
          <cell r="BF11">
            <v>7.8837402000000001</v>
          </cell>
          <cell r="BG11">
            <v>7.7975722125000004</v>
          </cell>
          <cell r="BH11">
            <v>7.1400761250000002</v>
          </cell>
          <cell r="BI11">
            <v>6.7218319999999991</v>
          </cell>
          <cell r="BJ11">
            <v>5.4289407375000005</v>
          </cell>
          <cell r="BK11">
            <v>5.339636791666666</v>
          </cell>
          <cell r="BL11" t="e">
            <v>#N/A</v>
          </cell>
          <cell r="BM11">
            <v>3.8741615208333329</v>
          </cell>
          <cell r="BN11" t="e">
            <v>#N/A</v>
          </cell>
          <cell r="BO11">
            <v>2.684577</v>
          </cell>
          <cell r="BP11">
            <v>1.1660735625</v>
          </cell>
          <cell r="BQ11">
            <v>-1.0990323750000002</v>
          </cell>
        </row>
        <row r="12">
          <cell r="BD12" t="str">
            <v>Martina</v>
          </cell>
          <cell r="BE12">
            <v>1.0742620000000001</v>
          </cell>
          <cell r="BF12">
            <v>1.4474875</v>
          </cell>
          <cell r="BG12">
            <v>2.0612849999999998</v>
          </cell>
          <cell r="BH12">
            <v>2.0762040000000002</v>
          </cell>
          <cell r="BI12">
            <v>2.2517530000000003</v>
          </cell>
          <cell r="BJ12">
            <v>2.3574169999999999</v>
          </cell>
          <cell r="BK12">
            <v>2.336732</v>
          </cell>
          <cell r="BL12" t="e">
            <v>#N/A</v>
          </cell>
          <cell r="BM12">
            <v>2.1744094999999999</v>
          </cell>
          <cell r="BN12" t="e">
            <v>#N/A</v>
          </cell>
          <cell r="BO12">
            <v>1.4942279999999997</v>
          </cell>
          <cell r="BP12">
            <v>0.63052850000000005</v>
          </cell>
          <cell r="BQ12">
            <v>-0.88458999999999988</v>
          </cell>
        </row>
        <row r="13">
          <cell r="BD13" t="str">
            <v>Manzanilla de Sevilla</v>
          </cell>
          <cell r="BE13">
            <v>2.422892</v>
          </cell>
          <cell r="BF13">
            <v>2.3557866666666669</v>
          </cell>
          <cell r="BG13">
            <v>2.2939076666666667</v>
          </cell>
          <cell r="BH13">
            <v>2.3329720000000003</v>
          </cell>
          <cell r="BI13">
            <v>2.3244233333333333</v>
          </cell>
          <cell r="BJ13">
            <v>2.2437043333333335</v>
          </cell>
          <cell r="BK13">
            <v>1.9614333333333336</v>
          </cell>
          <cell r="BL13" t="e">
            <v>#N/A</v>
          </cell>
          <cell r="BM13">
            <v>1.6136276666666667</v>
          </cell>
          <cell r="BN13" t="e">
            <v>#N/A</v>
          </cell>
          <cell r="BO13">
            <v>1.2333923333333332</v>
          </cell>
          <cell r="BP13">
            <v>0.52015400000000001</v>
          </cell>
          <cell r="BQ13">
            <v>-1.4412999999999998</v>
          </cell>
        </row>
        <row r="14">
          <cell r="BD14" t="str">
            <v>Picual</v>
          </cell>
          <cell r="BE14">
            <v>11.987690673700762</v>
          </cell>
          <cell r="BF14">
            <v>12.839203814321744</v>
          </cell>
          <cell r="BG14">
            <v>13.971764</v>
          </cell>
          <cell r="BH14">
            <v>12.680180578556998</v>
          </cell>
          <cell r="BI14">
            <v>13.036940250000001</v>
          </cell>
          <cell r="BJ14">
            <v>11.50221932600712</v>
          </cell>
          <cell r="BK14">
            <v>10.985628999999998</v>
          </cell>
          <cell r="BL14" t="e">
            <v>#N/A</v>
          </cell>
          <cell r="BM14">
            <v>8.0595650468688778</v>
          </cell>
          <cell r="BN14" t="e">
            <v>#N/A</v>
          </cell>
          <cell r="BO14">
            <v>4.5401691720696791</v>
          </cell>
          <cell r="BP14">
            <v>2.0315463409751273</v>
          </cell>
          <cell r="BQ14">
            <v>-0.95901336499032419</v>
          </cell>
        </row>
        <row r="15">
          <cell r="BD15" t="str">
            <v>Sikitita 1</v>
          </cell>
          <cell r="BE15">
            <v>7.4903447128124991</v>
          </cell>
          <cell r="BF15">
            <v>8.2399192115624995</v>
          </cell>
          <cell r="BG15">
            <v>8.3049367603124988</v>
          </cell>
          <cell r="BH15">
            <v>8.2438161815624991</v>
          </cell>
          <cell r="BI15">
            <v>7.8900650915625015</v>
          </cell>
          <cell r="BJ15">
            <v>7.2475607531250006</v>
          </cell>
          <cell r="BK15">
            <v>6.7634102353124996</v>
          </cell>
          <cell r="BL15" t="e">
            <v>#N/A</v>
          </cell>
          <cell r="BM15">
            <v>5.4164204324999998</v>
          </cell>
          <cell r="BN15" t="e">
            <v>#N/A</v>
          </cell>
          <cell r="BO15">
            <v>3.0772970353124998</v>
          </cell>
          <cell r="BP15">
            <v>1.164325903125</v>
          </cell>
          <cell r="BQ15">
            <v>-0.9275869968749999</v>
          </cell>
        </row>
        <row r="16">
          <cell r="BD16" t="str">
            <v>Sikitita 2</v>
          </cell>
          <cell r="BE16">
            <v>12.16001</v>
          </cell>
          <cell r="BF16">
            <v>12.540974999999998</v>
          </cell>
          <cell r="BG16">
            <v>12.352649999999999</v>
          </cell>
          <cell r="BH16">
            <v>11.981009999999999</v>
          </cell>
          <cell r="BI16">
            <v>11.510613999999999</v>
          </cell>
          <cell r="BJ16">
            <v>10.684543499999998</v>
          </cell>
          <cell r="BK16">
            <v>9.7549655000000008</v>
          </cell>
          <cell r="BL16" t="e">
            <v>#N/A</v>
          </cell>
          <cell r="BM16">
            <v>7.5762615000000011</v>
          </cell>
          <cell r="BN16" t="e">
            <v>#N/A</v>
          </cell>
          <cell r="BO16">
            <v>3.9602310000000003</v>
          </cell>
          <cell r="BP16">
            <v>1.609599</v>
          </cell>
          <cell r="BQ16">
            <v>-1.0585250000000002</v>
          </cell>
        </row>
        <row r="33">
          <cell r="BE33">
            <v>2000</v>
          </cell>
          <cell r="BF33">
            <v>1500</v>
          </cell>
          <cell r="BG33">
            <v>1250</v>
          </cell>
          <cell r="BH33">
            <v>1000</v>
          </cell>
          <cell r="BI33">
            <v>750</v>
          </cell>
          <cell r="BJ33">
            <v>500</v>
          </cell>
          <cell r="BK33">
            <v>350</v>
          </cell>
          <cell r="BL33">
            <v>250</v>
          </cell>
          <cell r="BM33">
            <v>200</v>
          </cell>
          <cell r="BN33">
            <v>125</v>
          </cell>
          <cell r="BO33">
            <v>100</v>
          </cell>
          <cell r="BP33">
            <v>50</v>
          </cell>
          <cell r="BQ33">
            <v>1.0000800000000001E-2</v>
          </cell>
        </row>
        <row r="34">
          <cell r="BC34" t="str">
            <v>Experimental_MD</v>
          </cell>
          <cell r="BE34">
            <v>3.2948229569059739</v>
          </cell>
          <cell r="BF34">
            <v>3.565192588894321</v>
          </cell>
          <cell r="BG34">
            <v>3.7551597252890523</v>
          </cell>
          <cell r="BH34">
            <v>3.8852462958268505</v>
          </cell>
          <cell r="BI34">
            <v>3.8648127764457292</v>
          </cell>
          <cell r="BJ34">
            <v>3.8695962602263227</v>
          </cell>
          <cell r="BK34" t="e">
            <v>#N/A</v>
          </cell>
          <cell r="BL34">
            <v>3.6137898331079752</v>
          </cell>
          <cell r="BM34" t="e">
            <v>#N/A</v>
          </cell>
          <cell r="BN34">
            <v>2.9447070488263631</v>
          </cell>
          <cell r="BO34" t="e">
            <v>#N/A</v>
          </cell>
          <cell r="BP34">
            <v>1.2015799147830415</v>
          </cell>
          <cell r="BQ34">
            <v>-0.95559377148846258</v>
          </cell>
        </row>
        <row r="35">
          <cell r="BE35">
            <v>3.4169766321957025</v>
          </cell>
          <cell r="BF35">
            <v>3.5109717412559678</v>
          </cell>
          <cell r="BG35">
            <v>3.9078723634942891</v>
          </cell>
          <cell r="BH35">
            <v>3.7869977854571739</v>
          </cell>
          <cell r="BI35">
            <v>3.9398977337137451</v>
          </cell>
          <cell r="BJ35">
            <v>3.7266639601435201</v>
          </cell>
          <cell r="BK35">
            <v>3.0749260500000002</v>
          </cell>
          <cell r="BL35">
            <v>3.6963792346439099</v>
          </cell>
          <cell r="BM35">
            <v>2.87045605</v>
          </cell>
          <cell r="BN35">
            <v>2.877500033719278</v>
          </cell>
          <cell r="BO35">
            <v>2.1921556999999998</v>
          </cell>
          <cell r="BP35">
            <v>1.1100529950147628</v>
          </cell>
          <cell r="BQ35">
            <v>-1.0377116315104908</v>
          </cell>
        </row>
        <row r="36">
          <cell r="BE36">
            <v>5.8833488453875864</v>
          </cell>
          <cell r="BF36">
            <v>6.3401300003329837</v>
          </cell>
          <cell r="BG36">
            <v>6.606318796941121</v>
          </cell>
          <cell r="BH36">
            <v>6.8794905458951066</v>
          </cell>
          <cell r="BI36">
            <v>6.8913244923069064</v>
          </cell>
          <cell r="BJ36">
            <v>6.7940317160488322</v>
          </cell>
          <cell r="BK36" t="e">
            <v>#N/A</v>
          </cell>
          <cell r="BL36">
            <v>5.9471838224085909</v>
          </cell>
          <cell r="BM36" t="e">
            <v>#N/A</v>
          </cell>
          <cell r="BN36">
            <v>4.2467216720383272</v>
          </cell>
          <cell r="BO36" t="e">
            <v>#N/A</v>
          </cell>
          <cell r="BP36">
            <v>1.7333972782076021</v>
          </cell>
          <cell r="BQ36">
            <v>-0.54446389883781976</v>
          </cell>
        </row>
        <row r="37">
          <cell r="BE37">
            <v>0.89326704567972903</v>
          </cell>
          <cell r="BF37">
            <v>0.87074224971944902</v>
          </cell>
          <cell r="BG37">
            <v>0.82228167532171537</v>
          </cell>
          <cell r="BH37">
            <v>0.90139540100408111</v>
          </cell>
          <cell r="BI37">
            <v>0.91020695995495737</v>
          </cell>
          <cell r="BJ37">
            <v>0.87046004716212289</v>
          </cell>
          <cell r="BK37">
            <v>0.37534707145833335</v>
          </cell>
          <cell r="BL37">
            <v>0.9297938549454603</v>
          </cell>
          <cell r="BM37">
            <v>0.44382663645833331</v>
          </cell>
          <cell r="BN37">
            <v>0.84286062469797496</v>
          </cell>
          <cell r="BO37">
            <v>0.32440918125000001</v>
          </cell>
          <cell r="BP37">
            <v>0.41396207854116546</v>
          </cell>
          <cell r="BQ37">
            <v>-0.63229223117097533</v>
          </cell>
        </row>
        <row r="38">
          <cell r="BE38">
            <v>0.82246395727198751</v>
          </cell>
          <cell r="BF38">
            <v>0.84192366838631505</v>
          </cell>
          <cell r="BG38">
            <v>0.87532451690326041</v>
          </cell>
          <cell r="BH38">
            <v>0.92778692324134848</v>
          </cell>
          <cell r="BI38">
            <v>0.95799809986887341</v>
          </cell>
          <cell r="BJ38">
            <v>0.99144629170733722</v>
          </cell>
          <cell r="BK38" t="e">
            <v>#N/A</v>
          </cell>
          <cell r="BL38">
            <v>1.0109473892418375</v>
          </cell>
          <cell r="BM38" t="e">
            <v>#N/A</v>
          </cell>
          <cell r="BN38">
            <v>0.95860921801143151</v>
          </cell>
          <cell r="BO38" t="e">
            <v>#N/A</v>
          </cell>
          <cell r="BP38">
            <v>0.47808223764046581</v>
          </cell>
          <cell r="BQ38">
            <v>-0.81728947462690926</v>
          </cell>
        </row>
        <row r="39">
          <cell r="BE39">
            <v>1.5147902909510422</v>
          </cell>
          <cell r="BF39">
            <v>1.5630090760148418</v>
          </cell>
          <cell r="BG39">
            <v>1.7896771599748198</v>
          </cell>
          <cell r="BH39">
            <v>2.0664276699234119</v>
          </cell>
          <cell r="BI39">
            <v>2.256714722726358</v>
          </cell>
          <cell r="BJ39">
            <v>2.3298090290017717</v>
          </cell>
          <cell r="BK39" t="e">
            <v>#N/A</v>
          </cell>
          <cell r="BL39">
            <v>2.3024964685723806</v>
          </cell>
          <cell r="BM39" t="e">
            <v>#N/A</v>
          </cell>
          <cell r="BN39">
            <v>1.6811894618155432</v>
          </cell>
          <cell r="BO39" t="e">
            <v>#N/A</v>
          </cell>
          <cell r="BP39">
            <v>0.21559967599732979</v>
          </cell>
          <cell r="BQ39">
            <v>-1.2723912592285127</v>
          </cell>
        </row>
        <row r="40">
          <cell r="BE40">
            <v>5.3509237668609773</v>
          </cell>
          <cell r="BF40">
            <v>5.1094779433240376</v>
          </cell>
          <cell r="BG40">
            <v>4.9008730768428368</v>
          </cell>
          <cell r="BH40">
            <v>5.0220706813972313</v>
          </cell>
          <cell r="BI40">
            <v>4.7009150249422111</v>
          </cell>
          <cell r="BJ40">
            <v>4.5401325439241775</v>
          </cell>
          <cell r="BK40" t="e">
            <v>#N/A</v>
          </cell>
          <cell r="BL40">
            <v>4.2336724999331539</v>
          </cell>
          <cell r="BM40" t="e">
            <v>#N/A</v>
          </cell>
          <cell r="BN40">
            <v>3.4271560298168207</v>
          </cell>
          <cell r="BO40" t="e">
            <v>#N/A</v>
          </cell>
          <cell r="BP40">
            <v>1.7141490194956399</v>
          </cell>
          <cell r="BQ40">
            <v>-0.69715662885127816</v>
          </cell>
        </row>
        <row r="41">
          <cell r="BE41">
            <v>1.8000942066776817</v>
          </cell>
          <cell r="BF41">
            <v>2.0270017349900358</v>
          </cell>
          <cell r="BG41">
            <v>2.1408607559033386</v>
          </cell>
          <cell r="BH41">
            <v>2.176692181350496</v>
          </cell>
          <cell r="BI41">
            <v>2.2986410339841332</v>
          </cell>
          <cell r="BJ41">
            <v>2.295885787055385</v>
          </cell>
          <cell r="BK41" t="e">
            <v>#N/A</v>
          </cell>
          <cell r="BL41">
            <v>2.2787235912437169</v>
          </cell>
          <cell r="BM41" t="e">
            <v>#N/A</v>
          </cell>
          <cell r="BN41">
            <v>1.9950561829278708</v>
          </cell>
          <cell r="BO41" t="e">
            <v>#N/A</v>
          </cell>
          <cell r="BP41">
            <v>1.0696683103346663</v>
          </cell>
          <cell r="BQ41">
            <v>-0.60869550680287243</v>
          </cell>
        </row>
        <row r="42">
          <cell r="BE42">
            <v>6.0175831247704741</v>
          </cell>
          <cell r="BF42">
            <v>6.4235892437549396</v>
          </cell>
          <cell r="BG42">
            <v>6.6860371966460992</v>
          </cell>
          <cell r="BH42">
            <v>6.7430766383159773</v>
          </cell>
          <cell r="BI42">
            <v>6.6672919210080854</v>
          </cell>
          <cell r="BJ42">
            <v>6.4589384637242953</v>
          </cell>
          <cell r="BK42">
            <v>7.1804098776938092</v>
          </cell>
          <cell r="BL42">
            <v>4.8447899941082389</v>
          </cell>
          <cell r="BM42">
            <v>6.1699879957038304</v>
          </cell>
          <cell r="BN42">
            <v>3.7828572928013968</v>
          </cell>
          <cell r="BO42">
            <v>3.9331786288225001</v>
          </cell>
          <cell r="BP42">
            <v>1.5594488523251013</v>
          </cell>
          <cell r="BQ42">
            <v>-0.91803698439709414</v>
          </cell>
        </row>
        <row r="43">
          <cell r="BE43">
            <v>8.8867483828205618</v>
          </cell>
          <cell r="BF43">
            <v>10.08461113104986</v>
          </cell>
          <cell r="BG43">
            <v>10.171689406103306</v>
          </cell>
          <cell r="BH43">
            <v>9.9112859545246543</v>
          </cell>
          <cell r="BI43">
            <v>9.5345800554840281</v>
          </cell>
          <cell r="BJ43">
            <v>8.8854699978257567</v>
          </cell>
          <cell r="BK43">
            <v>10.236297974354835</v>
          </cell>
          <cell r="BL43">
            <v>5.967513506230012</v>
          </cell>
          <cell r="BM43">
            <v>8.0883841527805291</v>
          </cell>
          <cell r="BN43">
            <v>4.0955647613451909</v>
          </cell>
          <cell r="BO43">
            <v>4.7972342708772571</v>
          </cell>
          <cell r="BP43">
            <v>1.8856824595133435</v>
          </cell>
          <cell r="BQ43">
            <v>-0.74743421884891481</v>
          </cell>
        </row>
        <row r="44">
          <cell r="BE44">
            <v>2.1808662969283219</v>
          </cell>
          <cell r="BF44">
            <v>2.3688993575903377</v>
          </cell>
          <cell r="BG44">
            <v>2.5255853200319973</v>
          </cell>
          <cell r="BH44">
            <v>2.6335731470340753</v>
          </cell>
          <cell r="BI44">
            <v>2.724793502639077</v>
          </cell>
          <cell r="BJ44">
            <v>2.6941744152951626</v>
          </cell>
          <cell r="BK44" t="e">
            <v>#N/A</v>
          </cell>
          <cell r="BL44">
            <v>2.4690033146535422</v>
          </cell>
          <cell r="BM44" t="e">
            <v>#N/A</v>
          </cell>
          <cell r="BN44">
            <v>1.9712618205441803</v>
          </cell>
          <cell r="BO44" t="e">
            <v>#N/A</v>
          </cell>
          <cell r="BP44">
            <v>0.35114144041894152</v>
          </cell>
          <cell r="BQ44">
            <v>-1.9264850146540349</v>
          </cell>
        </row>
        <row r="45">
          <cell r="BE45">
            <v>1.9328373259584415</v>
          </cell>
          <cell r="BF45">
            <v>3.0999874642980605</v>
          </cell>
          <cell r="BG45">
            <v>3.2982384865713938</v>
          </cell>
          <cell r="BH45">
            <v>3.8082281434487597</v>
          </cell>
          <cell r="BI45">
            <v>3.9540334518448281</v>
          </cell>
          <cell r="BJ45">
            <v>3.6555332476948408</v>
          </cell>
          <cell r="BK45" t="e">
            <v>#N/A</v>
          </cell>
          <cell r="BL45">
            <v>3.2728536304308236</v>
          </cell>
          <cell r="BM45" t="e">
            <v>#N/A</v>
          </cell>
          <cell r="BN45">
            <v>2.3194116469883448</v>
          </cell>
          <cell r="BO45" t="e">
            <v>#N/A</v>
          </cell>
          <cell r="BP45">
            <v>1.0479127744857182</v>
          </cell>
          <cell r="BQ45">
            <v>-0.90340414771993671</v>
          </cell>
        </row>
        <row r="46">
          <cell r="BE46">
            <v>3.297769677011186</v>
          </cell>
          <cell r="BF46">
            <v>3.4634149877442519</v>
          </cell>
          <cell r="BG46">
            <v>3.7453077482286083</v>
          </cell>
          <cell r="BH46">
            <v>3.7804901753717743</v>
          </cell>
          <cell r="BI46">
            <v>3.8476771117228736</v>
          </cell>
          <cell r="BJ46">
            <v>3.933702505875257</v>
          </cell>
          <cell r="BK46">
            <v>4.2909966184775952</v>
          </cell>
          <cell r="BL46">
            <v>3.3905314435942437</v>
          </cell>
          <cell r="BM46">
            <v>4.1159732358257601</v>
          </cell>
          <cell r="BN46">
            <v>2.8114026634675424</v>
          </cell>
          <cell r="BO46">
            <v>2.9080231192014847</v>
          </cell>
          <cell r="BP46">
            <v>1.3569745911376372</v>
          </cell>
          <cell r="BQ46">
            <v>-0.76408828063524636</v>
          </cell>
        </row>
        <row r="47">
          <cell r="BE47">
            <v>3.7645670571177843</v>
          </cell>
          <cell r="BF47">
            <v>3.937675112308892</v>
          </cell>
          <cell r="BG47">
            <v>4.0227512862140191</v>
          </cell>
          <cell r="BH47">
            <v>4.0006768516402484</v>
          </cell>
          <cell r="BI47">
            <v>3.9580281186462676</v>
          </cell>
          <cell r="BJ47">
            <v>3.8956316097327059</v>
          </cell>
          <cell r="BK47">
            <v>2.2168155910161502</v>
          </cell>
          <cell r="BL47">
            <v>3.7412178767956341</v>
          </cell>
          <cell r="BM47">
            <v>2.0744903315224201</v>
          </cell>
          <cell r="BN47">
            <v>3.0885077239763512</v>
          </cell>
          <cell r="BO47">
            <v>1.7383812528698399</v>
          </cell>
          <cell r="BP47">
            <v>1.3220763249737011</v>
          </cell>
          <cell r="BQ47">
            <v>-0.87474772005487578</v>
          </cell>
        </row>
        <row r="64">
          <cell r="BE64">
            <v>2000</v>
          </cell>
          <cell r="BF64">
            <v>1500</v>
          </cell>
          <cell r="BG64">
            <v>1250</v>
          </cell>
          <cell r="BH64">
            <v>1000</v>
          </cell>
          <cell r="BI64">
            <v>750</v>
          </cell>
          <cell r="BJ64">
            <v>500</v>
          </cell>
          <cell r="BK64">
            <v>350</v>
          </cell>
          <cell r="BL64">
            <v>250</v>
          </cell>
          <cell r="BM64">
            <v>200</v>
          </cell>
          <cell r="BN64">
            <v>125</v>
          </cell>
          <cell r="BO64">
            <v>100</v>
          </cell>
          <cell r="BP64">
            <v>50</v>
          </cell>
          <cell r="BQ64">
            <v>1.0000800000000001E-2</v>
          </cell>
        </row>
        <row r="65">
          <cell r="BC65" t="str">
            <v>Experimental_SD</v>
          </cell>
          <cell r="BE65">
            <v>0.87664383470722307</v>
          </cell>
          <cell r="BF65">
            <v>0.86205824850047941</v>
          </cell>
          <cell r="BG65">
            <v>0.84498644878628792</v>
          </cell>
          <cell r="BH65">
            <v>0.93488443843546876</v>
          </cell>
          <cell r="BI65">
            <v>0.79404448344738809</v>
          </cell>
          <cell r="BJ65">
            <v>0.85637294769938521</v>
          </cell>
          <cell r="BK65" t="e">
            <v>#N/A</v>
          </cell>
          <cell r="BL65">
            <v>0.7017613857299575</v>
          </cell>
          <cell r="BM65" t="e">
            <v>#N/A</v>
          </cell>
          <cell r="BN65">
            <v>0.7063357973824006</v>
          </cell>
          <cell r="BO65" t="e">
            <v>#N/A</v>
          </cell>
          <cell r="BP65">
            <v>0.4684971960996443</v>
          </cell>
          <cell r="BQ65">
            <v>-0.9289471366683032</v>
          </cell>
        </row>
        <row r="66">
          <cell r="BE66">
            <v>1.9728767882686875</v>
          </cell>
          <cell r="BF66">
            <v>1.9237499212719316</v>
          </cell>
          <cell r="BG66">
            <v>1.9690083215434862</v>
          </cell>
          <cell r="BH66">
            <v>1.9868262076914425</v>
          </cell>
          <cell r="BI66">
            <v>2.1180328938342337</v>
          </cell>
          <cell r="BJ66">
            <v>1.9596199608646581</v>
          </cell>
          <cell r="BK66" t="e">
            <v>#N/A</v>
          </cell>
          <cell r="BL66">
            <v>1.9077230264812655</v>
          </cell>
          <cell r="BM66" t="e">
            <v>#N/A</v>
          </cell>
          <cell r="BN66">
            <v>1.7641631719847191</v>
          </cell>
          <cell r="BO66" t="e">
            <v>#N/A</v>
          </cell>
          <cell r="BP66">
            <v>0.98748674000508707</v>
          </cell>
          <cell r="BQ66">
            <v>-0.96034277215145003</v>
          </cell>
        </row>
        <row r="67">
          <cell r="BE67">
            <v>5.546750145761564</v>
          </cell>
          <cell r="BF67">
            <v>5.760637159111198</v>
          </cell>
          <cell r="BG67">
            <v>6.0439638624947598</v>
          </cell>
          <cell r="BH67">
            <v>6.2167209443710361</v>
          </cell>
          <cell r="BI67">
            <v>6.272812386159365</v>
          </cell>
          <cell r="BJ67">
            <v>6.2339606118452018</v>
          </cell>
          <cell r="BK67" t="e">
            <v>#N/A</v>
          </cell>
          <cell r="BL67">
            <v>5.8638385024855344</v>
          </cell>
          <cell r="BM67" t="e">
            <v>#N/A</v>
          </cell>
          <cell r="BN67">
            <v>4.4798578688776267</v>
          </cell>
          <cell r="BO67" t="e">
            <v>#N/A</v>
          </cell>
          <cell r="BP67">
            <v>2.4141306242526883</v>
          </cell>
          <cell r="BQ67">
            <v>0.57795202152547853</v>
          </cell>
        </row>
        <row r="68">
          <cell r="BE68">
            <v>0.76012276806805801</v>
          </cell>
          <cell r="BF68">
            <v>0.76903680962320276</v>
          </cell>
          <cell r="BG68">
            <v>0.74781053511645024</v>
          </cell>
          <cell r="BH68">
            <v>0.77395831523238978</v>
          </cell>
          <cell r="BI68">
            <v>0.75331447607250235</v>
          </cell>
          <cell r="BJ68">
            <v>0.76211772386653642</v>
          </cell>
          <cell r="BK68" t="e">
            <v>#N/A</v>
          </cell>
          <cell r="BL68">
            <v>0.75402160694271803</v>
          </cell>
          <cell r="BM68" t="e">
            <v>#N/A</v>
          </cell>
          <cell r="BN68">
            <v>0.6122623076376601</v>
          </cell>
          <cell r="BO68" t="e">
            <v>#N/A</v>
          </cell>
          <cell r="BP68">
            <v>0.37172683759740577</v>
          </cell>
          <cell r="BQ68">
            <v>-0.66508741043828867</v>
          </cell>
        </row>
        <row r="69">
          <cell r="BE69">
            <v>0.41780618780115114</v>
          </cell>
          <cell r="BF69">
            <v>0.43054614860472307</v>
          </cell>
          <cell r="BG69">
            <v>0.58520744434943506</v>
          </cell>
          <cell r="BH69">
            <v>0.76246099941031253</v>
          </cell>
          <cell r="BI69">
            <v>0.71238905960565679</v>
          </cell>
          <cell r="BJ69">
            <v>0.75840001936434176</v>
          </cell>
          <cell r="BK69" t="e">
            <v>#N/A</v>
          </cell>
          <cell r="BL69">
            <v>0.9124205338514052</v>
          </cell>
          <cell r="BM69" t="e">
            <v>#N/A</v>
          </cell>
          <cell r="BN69">
            <v>0.97649232939663555</v>
          </cell>
          <cell r="BO69" t="e">
            <v>#N/A</v>
          </cell>
          <cell r="BP69">
            <v>0.53953409689394416</v>
          </cell>
          <cell r="BQ69">
            <v>-0.641925205810431</v>
          </cell>
        </row>
        <row r="70">
          <cell r="BE70">
            <v>0.47483466602249996</v>
          </cell>
          <cell r="BF70">
            <v>0.48492724417999999</v>
          </cell>
          <cell r="BG70">
            <v>0.44331638812250002</v>
          </cell>
          <cell r="BH70">
            <v>0.39794382307999998</v>
          </cell>
          <cell r="BI70">
            <v>0.41270620506499994</v>
          </cell>
          <cell r="BJ70">
            <v>0.40196855411249999</v>
          </cell>
          <cell r="BK70" t="e">
            <v>#N/A</v>
          </cell>
          <cell r="BL70">
            <v>0.46108015162500005</v>
          </cell>
          <cell r="BM70" t="e">
            <v>#N/A</v>
          </cell>
          <cell r="BN70">
            <v>0.34764145056000001</v>
          </cell>
          <cell r="BO70" t="e">
            <v>#N/A</v>
          </cell>
          <cell r="BP70">
            <v>5.2078602812499965E-2</v>
          </cell>
          <cell r="BQ70">
            <v>-0.69845595741349387</v>
          </cell>
        </row>
        <row r="71">
          <cell r="BE71">
            <v>0.67071090478987117</v>
          </cell>
          <cell r="BF71">
            <v>0.69009196223517832</v>
          </cell>
          <cell r="BG71">
            <v>0.76330763790398726</v>
          </cell>
          <cell r="BH71">
            <v>0.92349699527854723</v>
          </cell>
          <cell r="BI71">
            <v>1.0469315332187723</v>
          </cell>
          <cell r="BJ71">
            <v>1.1479193997181645</v>
          </cell>
          <cell r="BK71" t="e">
            <v>#N/A</v>
          </cell>
          <cell r="BL71">
            <v>1.2818172625386737</v>
          </cell>
          <cell r="BM71" t="e">
            <v>#N/A</v>
          </cell>
          <cell r="BN71">
            <v>1.3433993383081657</v>
          </cell>
          <cell r="BO71" t="e">
            <v>#N/A</v>
          </cell>
          <cell r="BP71">
            <v>0.95087856144367933</v>
          </cell>
          <cell r="BQ71">
            <v>-0.76057214363691183</v>
          </cell>
        </row>
        <row r="72">
          <cell r="BE72">
            <v>0.65493095662879119</v>
          </cell>
          <cell r="BF72">
            <v>0.71529282245838455</v>
          </cell>
          <cell r="BG72">
            <v>0.53123881641468074</v>
          </cell>
          <cell r="BH72">
            <v>0.51960672691203069</v>
          </cell>
          <cell r="BI72">
            <v>0.52930946922975974</v>
          </cell>
          <cell r="BJ72">
            <v>0.52881609761579695</v>
          </cell>
          <cell r="BK72" t="e">
            <v>#N/A</v>
          </cell>
          <cell r="BL72">
            <v>0.48601052524480404</v>
          </cell>
          <cell r="BM72" t="e">
            <v>#N/A</v>
          </cell>
          <cell r="BN72">
            <v>0.41848076648720423</v>
          </cell>
          <cell r="BO72" t="e">
            <v>#N/A</v>
          </cell>
          <cell r="BP72">
            <v>0.29465529861352818</v>
          </cell>
          <cell r="BQ72">
            <v>-0.75151993781043491</v>
          </cell>
        </row>
        <row r="73">
          <cell r="BE73">
            <v>0.17171700725584665</v>
          </cell>
          <cell r="BF73">
            <v>0.26127567194027618</v>
          </cell>
          <cell r="BG73">
            <v>0.30703998264671467</v>
          </cell>
          <cell r="BH73">
            <v>0.36757367588129214</v>
          </cell>
          <cell r="BI73">
            <v>0.44973652502128747</v>
          </cell>
          <cell r="BJ73">
            <v>0.49548137802486192</v>
          </cell>
          <cell r="BK73" t="e">
            <v>#N/A</v>
          </cell>
          <cell r="BL73">
            <v>0.48690892442443956</v>
          </cell>
          <cell r="BM73" t="e">
            <v>#N/A</v>
          </cell>
          <cell r="BN73">
            <v>0.45503324397504114</v>
          </cell>
          <cell r="BO73" t="e">
            <v>#N/A</v>
          </cell>
          <cell r="BP73">
            <v>0.29573865235752655</v>
          </cell>
          <cell r="BQ73">
            <v>-0.42282281556754037</v>
          </cell>
        </row>
        <row r="74">
          <cell r="BE74">
            <v>3.5352488447196633</v>
          </cell>
          <cell r="BF74">
            <v>3.947864441385204</v>
          </cell>
          <cell r="BG74">
            <v>4.1736419986392139</v>
          </cell>
          <cell r="BH74">
            <v>4.215102496925641</v>
          </cell>
          <cell r="BI74">
            <v>4.1628274047633447</v>
          </cell>
          <cell r="BJ74">
            <v>3.9300566610763408</v>
          </cell>
          <cell r="BK74" t="e">
            <v>#N/A</v>
          </cell>
          <cell r="BL74">
            <v>3.4295013111174</v>
          </cell>
          <cell r="BM74" t="e">
            <v>#N/A</v>
          </cell>
          <cell r="BN74">
            <v>2.6876321706423165</v>
          </cell>
          <cell r="BO74" t="e">
            <v>#N/A</v>
          </cell>
          <cell r="BP74">
            <v>1.1479676603930453</v>
          </cell>
          <cell r="BQ74">
            <v>-1.008687056483117</v>
          </cell>
        </row>
        <row r="75">
          <cell r="BE75">
            <v>0.90789883631395529</v>
          </cell>
          <cell r="BF75">
            <v>1.1016501700623018</v>
          </cell>
          <cell r="BG75">
            <v>1.3247704917003462</v>
          </cell>
          <cell r="BH75">
            <v>1.4522436176295253</v>
          </cell>
          <cell r="BI75">
            <v>1.6055247201992693</v>
          </cell>
          <cell r="BJ75">
            <v>1.6051623051133799</v>
          </cell>
          <cell r="BK75" t="e">
            <v>#N/A</v>
          </cell>
          <cell r="BL75">
            <v>1.5524412379339942</v>
          </cell>
          <cell r="BM75" t="e">
            <v>#N/A</v>
          </cell>
          <cell r="BN75">
            <v>1.4063675900977932</v>
          </cell>
          <cell r="BO75" t="e">
            <v>#N/A</v>
          </cell>
          <cell r="BP75">
            <v>0.69324311800807203</v>
          </cell>
          <cell r="BQ75">
            <v>-1.0784435220960147</v>
          </cell>
        </row>
        <row r="76">
          <cell r="BE76">
            <v>0.79642567057451175</v>
          </cell>
          <cell r="BF76">
            <v>0.72988854760329058</v>
          </cell>
          <cell r="BG76">
            <v>0.41888520148830299</v>
          </cell>
          <cell r="BH76">
            <v>0.49102927895988874</v>
          </cell>
          <cell r="BI76">
            <v>0.5329715061032515</v>
          </cell>
          <cell r="BJ76">
            <v>0.4212175119947954</v>
          </cell>
          <cell r="BK76" t="e">
            <v>#N/A</v>
          </cell>
          <cell r="BL76">
            <v>0.30500237325286556</v>
          </cell>
          <cell r="BM76" t="e">
            <v>#N/A</v>
          </cell>
          <cell r="BN76">
            <v>0.29882599432045609</v>
          </cell>
          <cell r="BO76" t="e">
            <v>#N/A</v>
          </cell>
          <cell r="BP76">
            <v>0.37743686404957116</v>
          </cell>
          <cell r="BQ76">
            <v>-0.71980367993420946</v>
          </cell>
        </row>
        <row r="77">
          <cell r="BE77">
            <v>0.6162285987466718</v>
          </cell>
          <cell r="BF77">
            <v>0.74457367754736581</v>
          </cell>
          <cell r="BG77">
            <v>0.91411516293329065</v>
          </cell>
          <cell r="BH77">
            <v>1.153317225180716</v>
          </cell>
          <cell r="BI77">
            <v>1.2484447951908257</v>
          </cell>
          <cell r="BJ77">
            <v>1.397842411668625</v>
          </cell>
          <cell r="BK77" t="e">
            <v>#N/A</v>
          </cell>
          <cell r="BL77">
            <v>1.3259554980303458</v>
          </cell>
          <cell r="BM77" t="e">
            <v>#N/A</v>
          </cell>
          <cell r="BN77">
            <v>1.1882445300241464</v>
          </cell>
          <cell r="BO77" t="e">
            <v>#N/A</v>
          </cell>
          <cell r="BP77">
            <v>0.59582674007262448</v>
          </cell>
          <cell r="BQ77">
            <v>-0.6058649761696826</v>
          </cell>
        </row>
        <row r="78">
          <cell r="BE78">
            <v>3.1688652597550879</v>
          </cell>
          <cell r="BF78">
            <v>3.4755913468124473</v>
          </cell>
          <cell r="BG78">
            <v>3.6028866178740238</v>
          </cell>
          <cell r="BH78">
            <v>3.6345073182827834</v>
          </cell>
          <cell r="BI78">
            <v>3.7335527112512046</v>
          </cell>
          <cell r="BJ78">
            <v>3.6933107578566005</v>
          </cell>
          <cell r="BK78" t="e">
            <v>#N/A</v>
          </cell>
          <cell r="BL78">
            <v>3.4137059547077055</v>
          </cell>
          <cell r="BM78" t="e">
            <v>#N/A</v>
          </cell>
          <cell r="BN78">
            <v>2.7916809874543942</v>
          </cell>
          <cell r="BO78" t="e">
            <v>#N/A</v>
          </cell>
          <cell r="BP78">
            <v>1.2955259047475143</v>
          </cell>
          <cell r="BQ78">
            <v>-0.76838386084417587</v>
          </cell>
        </row>
      </sheetData>
      <sheetData sheetId="10">
        <row r="1">
          <cell r="AC1" t="str">
            <v>A, µmol CO2 m⁻² s⁻1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D_7d"/>
      <sheetName val="MD_14d"/>
      <sheetName val="MD_21d"/>
      <sheetName val="SD_28d"/>
      <sheetName val="SD_35d"/>
      <sheetName val="ED_42d"/>
      <sheetName val="Table_parameters"/>
      <sheetName val="Experimental Curves ETR"/>
      <sheetName val="Theoretical Curve ETR"/>
      <sheetName val="Article Curves E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F1" t="str">
            <v xml:space="preserve">ETR </v>
          </cell>
        </row>
        <row r="2">
          <cell r="F2" t="str">
            <v>(µmol electrons m⁻² s⁻¹)</v>
          </cell>
        </row>
      </sheetData>
      <sheetData sheetId="7" refreshError="1"/>
      <sheetData sheetId="8">
        <row r="2">
          <cell r="BE2">
            <v>2000</v>
          </cell>
          <cell r="BF2">
            <v>1500</v>
          </cell>
          <cell r="BG2">
            <v>1250</v>
          </cell>
          <cell r="BH2">
            <v>1000</v>
          </cell>
          <cell r="BI2">
            <v>750</v>
          </cell>
          <cell r="BJ2">
            <v>500</v>
          </cell>
          <cell r="BK2">
            <v>350</v>
          </cell>
          <cell r="BL2">
            <v>250</v>
          </cell>
          <cell r="BM2">
            <v>200</v>
          </cell>
          <cell r="BN2">
            <v>125</v>
          </cell>
          <cell r="BO2">
            <v>100</v>
          </cell>
          <cell r="BP2">
            <v>50</v>
          </cell>
          <cell r="BQ2">
            <v>1.0000800000000001E-2</v>
          </cell>
        </row>
        <row r="3">
          <cell r="BC3" t="str">
            <v>Experimental_C</v>
          </cell>
          <cell r="BD3" t="str">
            <v>Arbequina</v>
          </cell>
          <cell r="BE3">
            <v>43.572015227672736</v>
          </cell>
          <cell r="BF3">
            <v>54.050554711443603</v>
          </cell>
          <cell r="BG3">
            <v>61.774244544430417</v>
          </cell>
          <cell r="BH3">
            <v>67.880668558219909</v>
          </cell>
          <cell r="BI3">
            <v>70.865651736940848</v>
          </cell>
          <cell r="BJ3">
            <v>67.832677420166561</v>
          </cell>
          <cell r="BK3">
            <v>61.245733237133287</v>
          </cell>
          <cell r="BL3" t="e">
            <v>#N/A</v>
          </cell>
          <cell r="BM3">
            <v>47.114246728055733</v>
          </cell>
          <cell r="BN3" t="e">
            <v>#N/A</v>
          </cell>
          <cell r="BO3">
            <v>28.315675799007305</v>
          </cell>
          <cell r="BP3">
            <v>14.907661426134414</v>
          </cell>
          <cell r="BQ3">
            <v>0</v>
          </cell>
        </row>
        <row r="4">
          <cell r="BD4" t="str">
            <v>Arbosana</v>
          </cell>
          <cell r="BE4">
            <v>26.275294694447354</v>
          </cell>
          <cell r="BF4">
            <v>39.521786376058266</v>
          </cell>
          <cell r="BG4">
            <v>46.771119746150234</v>
          </cell>
          <cell r="BH4">
            <v>51.14308557397748</v>
          </cell>
          <cell r="BI4">
            <v>53.493391619403837</v>
          </cell>
          <cell r="BJ4">
            <v>53.403404884806143</v>
          </cell>
          <cell r="BK4">
            <v>50.692132105116009</v>
          </cell>
          <cell r="BL4" t="e">
            <v>#N/A</v>
          </cell>
          <cell r="BM4">
            <v>42.280686367768475</v>
          </cell>
          <cell r="BN4" t="e">
            <v>#N/A</v>
          </cell>
          <cell r="BO4">
            <v>27.717289071994266</v>
          </cell>
          <cell r="BP4">
            <v>15.173968813632117</v>
          </cell>
          <cell r="BQ4">
            <v>0</v>
          </cell>
        </row>
        <row r="5">
          <cell r="BD5" t="str">
            <v>Cornicabra</v>
          </cell>
          <cell r="BE5">
            <v>33.659670000000006</v>
          </cell>
          <cell r="BF5">
            <v>43.328440000000001</v>
          </cell>
          <cell r="BG5">
            <v>49.275325000000002</v>
          </cell>
          <cell r="BH5">
            <v>52.826734999999999</v>
          </cell>
          <cell r="BI5">
            <v>53.993299999999998</v>
          </cell>
          <cell r="BJ5">
            <v>53.403480000000002</v>
          </cell>
          <cell r="BK5">
            <v>51.896530000000006</v>
          </cell>
          <cell r="BL5" t="e">
            <v>#N/A</v>
          </cell>
          <cell r="BM5">
            <v>44.800260000000009</v>
          </cell>
          <cell r="BN5" t="e">
            <v>#N/A</v>
          </cell>
          <cell r="BO5">
            <v>28.563965</v>
          </cell>
          <cell r="BP5">
            <v>15.166404999999999</v>
          </cell>
          <cell r="BQ5">
            <v>0</v>
          </cell>
        </row>
        <row r="6">
          <cell r="BD6" t="str">
            <v>Chemlali</v>
          </cell>
          <cell r="BE6">
            <v>53.483053032734517</v>
          </cell>
          <cell r="BF6">
            <v>64.417796706060898</v>
          </cell>
          <cell r="BG6">
            <v>70.117160284794807</v>
          </cell>
          <cell r="BH6">
            <v>73.253160874727371</v>
          </cell>
          <cell r="BI6">
            <v>74.719449442425812</v>
          </cell>
          <cell r="BJ6">
            <v>72.908737367215622</v>
          </cell>
          <cell r="BK6">
            <v>66.875825458835664</v>
          </cell>
          <cell r="BL6" t="e">
            <v>#N/A</v>
          </cell>
          <cell r="BM6">
            <v>50.557094193285614</v>
          </cell>
          <cell r="BN6" t="e">
            <v>#N/A</v>
          </cell>
          <cell r="BO6">
            <v>28.936801786625377</v>
          </cell>
          <cell r="BP6">
            <v>15.105551930419738</v>
          </cell>
          <cell r="BQ6">
            <v>0</v>
          </cell>
        </row>
        <row r="7">
          <cell r="BD7" t="str">
            <v>Cornezuelo de Jaén</v>
          </cell>
          <cell r="BE7">
            <v>25.819029999999998</v>
          </cell>
          <cell r="BF7">
            <v>30.853603333333332</v>
          </cell>
          <cell r="BG7">
            <v>34.031530000000004</v>
          </cell>
          <cell r="BH7">
            <v>37.097183333333334</v>
          </cell>
          <cell r="BI7">
            <v>38.851973333333333</v>
          </cell>
          <cell r="BJ7">
            <v>39.240366666666667</v>
          </cell>
          <cell r="BK7">
            <v>38.286943333333333</v>
          </cell>
          <cell r="BL7" t="e">
            <v>#N/A</v>
          </cell>
          <cell r="BM7">
            <v>34.31941333333333</v>
          </cell>
          <cell r="BN7" t="e">
            <v>#N/A</v>
          </cell>
          <cell r="BO7">
            <v>24.897273333333338</v>
          </cell>
          <cell r="BP7">
            <v>14.156396666666668</v>
          </cell>
          <cell r="BQ7">
            <v>0</v>
          </cell>
        </row>
        <row r="8">
          <cell r="BD8" t="str">
            <v>Empeltre</v>
          </cell>
          <cell r="BE8">
            <v>65.055353333333343</v>
          </cell>
          <cell r="BF8">
            <v>82.64246</v>
          </cell>
          <cell r="BG8">
            <v>91.239429999999984</v>
          </cell>
          <cell r="BH8">
            <v>96.14527333333335</v>
          </cell>
          <cell r="BI8">
            <v>98.970520000000008</v>
          </cell>
          <cell r="BJ8">
            <v>93.079736666666648</v>
          </cell>
          <cell r="BK8">
            <v>80.219793333333328</v>
          </cell>
          <cell r="BL8" t="e">
            <v>#N/A</v>
          </cell>
          <cell r="BM8">
            <v>55.811026666666663</v>
          </cell>
          <cell r="BN8" t="e">
            <v>#N/A</v>
          </cell>
          <cell r="BO8">
            <v>30.380219999999998</v>
          </cell>
          <cell r="BP8">
            <v>15.61556</v>
          </cell>
          <cell r="BQ8">
            <v>0</v>
          </cell>
        </row>
        <row r="9">
          <cell r="BD9" t="str">
            <v>Frantoio</v>
          </cell>
          <cell r="BE9">
            <v>18.77495</v>
          </cell>
          <cell r="BF9">
            <v>23.098796666666665</v>
          </cell>
          <cell r="BG9">
            <v>25.102136666666667</v>
          </cell>
          <cell r="BH9">
            <v>27.224740000000001</v>
          </cell>
          <cell r="BI9">
            <v>29.020803333333333</v>
          </cell>
          <cell r="BJ9">
            <v>30.25315333333333</v>
          </cell>
          <cell r="BK9">
            <v>29.88703666666667</v>
          </cell>
          <cell r="BL9" t="e">
            <v>#N/A</v>
          </cell>
          <cell r="BM9">
            <v>27.8062</v>
          </cell>
          <cell r="BN9" t="e">
            <v>#N/A</v>
          </cell>
          <cell r="BO9">
            <v>22.543226666666666</v>
          </cell>
          <cell r="BP9">
            <v>13.939333333333334</v>
          </cell>
          <cell r="BQ9">
            <v>0</v>
          </cell>
        </row>
        <row r="10">
          <cell r="BD10" t="str">
            <v>Hojiblanca</v>
          </cell>
          <cell r="BE10">
            <v>58.176247500000002</v>
          </cell>
          <cell r="BF10">
            <v>76.734477749999996</v>
          </cell>
          <cell r="BG10">
            <v>84.92983799999999</v>
          </cell>
          <cell r="BH10">
            <v>89.916807750000004</v>
          </cell>
          <cell r="BI10">
            <v>90.418256250000013</v>
          </cell>
          <cell r="BJ10">
            <v>84.281063999999986</v>
          </cell>
          <cell r="BK10">
            <v>73.998177749999996</v>
          </cell>
          <cell r="BL10" t="e">
            <v>#N/A</v>
          </cell>
          <cell r="BM10">
            <v>54.534317250000001</v>
          </cell>
          <cell r="BN10" t="e">
            <v>#N/A</v>
          </cell>
          <cell r="BO10">
            <v>31.194575999999998</v>
          </cell>
          <cell r="BP10">
            <v>16.212908249999998</v>
          </cell>
          <cell r="BQ10">
            <v>0</v>
          </cell>
        </row>
        <row r="11">
          <cell r="BD11" t="str">
            <v>Koroneiki</v>
          </cell>
          <cell r="BE11">
            <v>21.37163</v>
          </cell>
          <cell r="BF11">
            <v>28.6894025</v>
          </cell>
          <cell r="BG11">
            <v>32.3742625</v>
          </cell>
          <cell r="BH11">
            <v>35.489377499999996</v>
          </cell>
          <cell r="BI11">
            <v>37.059465000000003</v>
          </cell>
          <cell r="BJ11">
            <v>37.206719999999997</v>
          </cell>
          <cell r="BK11">
            <v>36.043462499999997</v>
          </cell>
          <cell r="BL11" t="e">
            <v>#N/A</v>
          </cell>
          <cell r="BM11">
            <v>31.816075000000001</v>
          </cell>
          <cell r="BN11" t="e">
            <v>#N/A</v>
          </cell>
          <cell r="BO11">
            <v>23.4064625</v>
          </cell>
          <cell r="BP11">
            <v>13.4266275</v>
          </cell>
          <cell r="BQ11">
            <v>0</v>
          </cell>
        </row>
        <row r="12">
          <cell r="BD12" t="str">
            <v>Martina</v>
          </cell>
          <cell r="BE12">
            <v>17.255525000000002</v>
          </cell>
          <cell r="BF12">
            <v>28.860384999999997</v>
          </cell>
          <cell r="BG12">
            <v>37.18918</v>
          </cell>
          <cell r="BH12">
            <v>44.353585000000002</v>
          </cell>
          <cell r="BI12">
            <v>50.458970000000001</v>
          </cell>
          <cell r="BJ12">
            <v>54.701979999999999</v>
          </cell>
          <cell r="BK12">
            <v>56.412265000000012</v>
          </cell>
          <cell r="BL12" t="e">
            <v>#N/A</v>
          </cell>
          <cell r="BM12">
            <v>48.348845000000004</v>
          </cell>
          <cell r="BN12" t="e">
            <v>#N/A</v>
          </cell>
          <cell r="BO12">
            <v>29.456620000000001</v>
          </cell>
          <cell r="BP12">
            <v>15.397955000000001</v>
          </cell>
          <cell r="BQ12">
            <v>0</v>
          </cell>
        </row>
        <row r="13">
          <cell r="BD13" t="str">
            <v>Manzanilla de Sevilla</v>
          </cell>
          <cell r="BE13">
            <v>16.531289999999998</v>
          </cell>
          <cell r="BF13">
            <v>21.900193333333334</v>
          </cell>
          <cell r="BG13">
            <v>22.770496666666666</v>
          </cell>
          <cell r="BH13">
            <v>25.075523333333336</v>
          </cell>
          <cell r="BI13">
            <v>26.922600000000003</v>
          </cell>
          <cell r="BJ13">
            <v>27.518276666666662</v>
          </cell>
          <cell r="BK13">
            <v>27.764700000000001</v>
          </cell>
          <cell r="BL13" t="e">
            <v>#N/A</v>
          </cell>
          <cell r="BM13">
            <v>25.929236666666668</v>
          </cell>
          <cell r="BN13" t="e">
            <v>#N/A</v>
          </cell>
          <cell r="BO13">
            <v>20.071563333333334</v>
          </cell>
          <cell r="BP13">
            <v>11.974470333333334</v>
          </cell>
          <cell r="BQ13">
            <v>0</v>
          </cell>
        </row>
        <row r="14">
          <cell r="BD14" t="str">
            <v>Picual</v>
          </cell>
          <cell r="BE14">
            <v>42.403769358678154</v>
          </cell>
          <cell r="BF14">
            <v>56.874840857019514</v>
          </cell>
          <cell r="BG14">
            <v>60.743796110895147</v>
          </cell>
          <cell r="BH14">
            <v>70.89403216233309</v>
          </cell>
          <cell r="BI14">
            <v>88.329216074561486</v>
          </cell>
          <cell r="BJ14">
            <v>72.026620993379595</v>
          </cell>
          <cell r="BK14">
            <v>59.076239387633557</v>
          </cell>
          <cell r="BL14" t="e">
            <v>#N/A</v>
          </cell>
          <cell r="BM14">
            <v>49.039707398684051</v>
          </cell>
          <cell r="BN14" t="e">
            <v>#N/A</v>
          </cell>
          <cell r="BO14">
            <v>29.247516585312564</v>
          </cell>
          <cell r="BP14">
            <v>15.403892502182297</v>
          </cell>
          <cell r="BQ14">
            <v>0</v>
          </cell>
        </row>
        <row r="15">
          <cell r="BD15" t="str">
            <v>Sikitita 1</v>
          </cell>
          <cell r="BE15">
            <v>31.910879999999995</v>
          </cell>
          <cell r="BF15">
            <v>48.53422333333333</v>
          </cell>
          <cell r="BG15">
            <v>56.069366666666667</v>
          </cell>
          <cell r="BH15">
            <v>61.191906666666675</v>
          </cell>
          <cell r="BI15">
            <v>64.223819999999989</v>
          </cell>
          <cell r="BJ15">
            <v>63.844376666666669</v>
          </cell>
          <cell r="BK15">
            <v>61.225750000000005</v>
          </cell>
          <cell r="BL15" t="e">
            <v>#N/A</v>
          </cell>
          <cell r="BM15">
            <v>49.673353333333331</v>
          </cell>
          <cell r="BN15" t="e">
            <v>#N/A</v>
          </cell>
          <cell r="BO15">
            <v>29.885366666666666</v>
          </cell>
          <cell r="BP15">
            <v>15.598546666666666</v>
          </cell>
          <cell r="BQ15">
            <v>0</v>
          </cell>
        </row>
        <row r="16">
          <cell r="BD16" t="str">
            <v>Sikitita 2</v>
          </cell>
          <cell r="BE16">
            <v>57.490745000000004</v>
          </cell>
          <cell r="BF16">
            <v>76.645595</v>
          </cell>
          <cell r="BG16">
            <v>82.047199999999989</v>
          </cell>
          <cell r="BH16">
            <v>84.160444999999996</v>
          </cell>
          <cell r="BI16">
            <v>83.950199999999995</v>
          </cell>
          <cell r="BJ16">
            <v>80.338349999999991</v>
          </cell>
          <cell r="BK16">
            <v>74.023409999999998</v>
          </cell>
          <cell r="BL16" t="e">
            <v>#N/A</v>
          </cell>
          <cell r="BM16">
            <v>55.680415000000004</v>
          </cell>
          <cell r="BN16" t="e">
            <v>#N/A</v>
          </cell>
          <cell r="BO16">
            <v>30.720215</v>
          </cell>
          <cell r="BP16">
            <v>15.753414999999999</v>
          </cell>
          <cell r="BQ16">
            <v>0</v>
          </cell>
        </row>
        <row r="33">
          <cell r="BE33">
            <v>2000</v>
          </cell>
          <cell r="BF33">
            <v>1500</v>
          </cell>
          <cell r="BG33">
            <v>1250</v>
          </cell>
          <cell r="BH33">
            <v>1000</v>
          </cell>
          <cell r="BI33">
            <v>750</v>
          </cell>
          <cell r="BJ33">
            <v>500</v>
          </cell>
          <cell r="BK33">
            <v>350</v>
          </cell>
          <cell r="BL33">
            <v>250</v>
          </cell>
          <cell r="BM33">
            <v>200</v>
          </cell>
          <cell r="BN33">
            <v>125</v>
          </cell>
          <cell r="BO33">
            <v>100</v>
          </cell>
          <cell r="BP33">
            <v>50</v>
          </cell>
          <cell r="BQ33">
            <v>1.0000800000000001E-2</v>
          </cell>
        </row>
        <row r="34">
          <cell r="BC34" t="str">
            <v>Experimental_MD</v>
          </cell>
          <cell r="BE34">
            <v>30.281716779149971</v>
          </cell>
          <cell r="BF34">
            <v>39.447857860213404</v>
          </cell>
          <cell r="BG34">
            <v>43.468136475711269</v>
          </cell>
          <cell r="BH34">
            <v>46.743608564674659</v>
          </cell>
          <cell r="BI34">
            <v>49.149759922486218</v>
          </cell>
          <cell r="BJ34">
            <v>50.505389938221796</v>
          </cell>
          <cell r="BK34" t="e">
            <v>#N/A</v>
          </cell>
          <cell r="BL34">
            <v>47.727396352745487</v>
          </cell>
          <cell r="BM34" t="e">
            <v>#N/A</v>
          </cell>
          <cell r="BN34">
            <v>33.66700864055381</v>
          </cell>
          <cell r="BO34" t="e">
            <v>#N/A</v>
          </cell>
          <cell r="BP34">
            <v>14.947475723978313</v>
          </cell>
          <cell r="BQ34">
            <v>0</v>
          </cell>
        </row>
        <row r="35">
          <cell r="BE35">
            <v>14.285781490423503</v>
          </cell>
          <cell r="BF35">
            <v>21.533533494908596</v>
          </cell>
          <cell r="BG35">
            <v>24.897974027003183</v>
          </cell>
          <cell r="BH35">
            <v>27.957299220560429</v>
          </cell>
          <cell r="BI35">
            <v>30.60037024441781</v>
          </cell>
          <cell r="BJ35">
            <v>32.4236900283328</v>
          </cell>
          <cell r="BK35" t="e">
            <v>#N/A</v>
          </cell>
          <cell r="BL35">
            <v>30.742566559151939</v>
          </cell>
          <cell r="BM35">
            <v>32.579979999999999</v>
          </cell>
          <cell r="BN35">
            <v>25.705634756454632</v>
          </cell>
          <cell r="BO35" t="e">
            <v>#N/A</v>
          </cell>
          <cell r="BP35">
            <v>14.034476825274149</v>
          </cell>
          <cell r="BQ35">
            <v>0</v>
          </cell>
        </row>
        <row r="36">
          <cell r="BE36">
            <v>38.322990104142576</v>
          </cell>
          <cell r="BF36">
            <v>52.399385777819376</v>
          </cell>
          <cell r="BG36">
            <v>59.925966306890807</v>
          </cell>
          <cell r="BH36">
            <v>63.88958444853052</v>
          </cell>
          <cell r="BI36">
            <v>65.897672725782868</v>
          </cell>
          <cell r="BJ36">
            <v>64.735022420383601</v>
          </cell>
          <cell r="BK36" t="e">
            <v>#N/A</v>
          </cell>
          <cell r="BL36">
            <v>53.763800977356425</v>
          </cell>
          <cell r="BM36" t="e">
            <v>#N/A</v>
          </cell>
          <cell r="BN36">
            <v>34.184746942630973</v>
          </cell>
          <cell r="BO36" t="e">
            <v>#N/A</v>
          </cell>
          <cell r="BP36">
            <v>14.796799129019506</v>
          </cell>
          <cell r="BQ36">
            <v>0</v>
          </cell>
        </row>
        <row r="37">
          <cell r="BE37">
            <v>17.826793805305861</v>
          </cell>
          <cell r="BF37">
            <v>24.407677422070222</v>
          </cell>
          <cell r="BG37">
            <v>25.960865048271746</v>
          </cell>
          <cell r="BH37">
            <v>27.645095556947098</v>
          </cell>
          <cell r="BI37">
            <v>28.956399822551372</v>
          </cell>
          <cell r="BJ37">
            <v>29.931035813633383</v>
          </cell>
          <cell r="BK37" t="e">
            <v>#N/A</v>
          </cell>
          <cell r="BL37">
            <v>29.515040696499923</v>
          </cell>
          <cell r="BM37" t="e">
            <v>#N/A</v>
          </cell>
          <cell r="BN37">
            <v>25.81883087934504</v>
          </cell>
          <cell r="BO37" t="e">
            <v>#N/A</v>
          </cell>
          <cell r="BP37">
            <v>13.229531802740278</v>
          </cell>
          <cell r="BQ37">
            <v>0</v>
          </cell>
        </row>
        <row r="38">
          <cell r="BE38">
            <v>16.422940755191494</v>
          </cell>
          <cell r="BF38">
            <v>21.062129159418681</v>
          </cell>
          <cell r="BG38">
            <v>24.07049067977923</v>
          </cell>
          <cell r="BH38">
            <v>26.755319732922079</v>
          </cell>
          <cell r="BI38">
            <v>29.342838478514512</v>
          </cell>
          <cell r="BJ38">
            <v>31.422020861640874</v>
          </cell>
          <cell r="BK38" t="e">
            <v>#N/A</v>
          </cell>
          <cell r="BL38">
            <v>31.514223073601983</v>
          </cell>
          <cell r="BM38" t="e">
            <v>#N/A</v>
          </cell>
          <cell r="BN38">
            <v>27.692063417787779</v>
          </cell>
          <cell r="BO38" t="e">
            <v>#N/A</v>
          </cell>
          <cell r="BP38">
            <v>14.257543748302638</v>
          </cell>
          <cell r="BQ38">
            <v>0</v>
          </cell>
        </row>
        <row r="39">
          <cell r="BE39">
            <v>34.581491909924161</v>
          </cell>
          <cell r="BF39">
            <v>41.401690556822309</v>
          </cell>
          <cell r="BG39">
            <v>45.491449449046115</v>
          </cell>
          <cell r="BH39">
            <v>49.199595033487569</v>
          </cell>
          <cell r="BI39">
            <v>51.50496473638178</v>
          </cell>
          <cell r="BJ39">
            <v>52.556113659691043</v>
          </cell>
          <cell r="BK39" t="e">
            <v>#N/A</v>
          </cell>
          <cell r="BL39">
            <v>48.82121331853461</v>
          </cell>
          <cell r="BM39" t="e">
            <v>#N/A</v>
          </cell>
          <cell r="BN39">
            <v>34.000773099790756</v>
          </cell>
          <cell r="BO39" t="e">
            <v>#N/A</v>
          </cell>
          <cell r="BP39">
            <v>14.857173808335798</v>
          </cell>
          <cell r="BQ39">
            <v>0</v>
          </cell>
        </row>
        <row r="40">
          <cell r="BE40">
            <v>25.687992045776525</v>
          </cell>
          <cell r="BF40">
            <v>31.045075406069998</v>
          </cell>
          <cell r="BG40">
            <v>34.878515714819962</v>
          </cell>
          <cell r="BH40">
            <v>37.807418355542318</v>
          </cell>
          <cell r="BI40">
            <v>40.080388132584531</v>
          </cell>
          <cell r="BJ40">
            <v>41.548457951676205</v>
          </cell>
          <cell r="BK40" t="e">
            <v>#N/A</v>
          </cell>
          <cell r="BL40">
            <v>40.568915465185476</v>
          </cell>
          <cell r="BM40" t="e">
            <v>#N/A</v>
          </cell>
          <cell r="BN40">
            <v>32.200299943068529</v>
          </cell>
          <cell r="BO40" t="e">
            <v>#N/A</v>
          </cell>
          <cell r="BP40">
            <v>14.943341086312191</v>
          </cell>
          <cell r="BQ40">
            <v>0</v>
          </cell>
        </row>
        <row r="41">
          <cell r="BE41">
            <v>25.188891390345177</v>
          </cell>
          <cell r="BF41">
            <v>32.068662326203722</v>
          </cell>
          <cell r="BG41">
            <v>36.527440185060719</v>
          </cell>
          <cell r="BH41">
            <v>41.003628141611742</v>
          </cell>
          <cell r="BI41">
            <v>44.305819687381792</v>
          </cell>
          <cell r="BJ41">
            <v>46.7949915668637</v>
          </cell>
          <cell r="BK41" t="e">
            <v>#N/A</v>
          </cell>
          <cell r="BL41">
            <v>43.630572758534541</v>
          </cell>
          <cell r="BM41" t="e">
            <v>#N/A</v>
          </cell>
          <cell r="BN41">
            <v>31.004927375083952</v>
          </cell>
          <cell r="BO41" t="e">
            <v>#N/A</v>
          </cell>
          <cell r="BP41">
            <v>14.326877339483442</v>
          </cell>
          <cell r="BQ41">
            <v>0</v>
          </cell>
        </row>
        <row r="42">
          <cell r="BE42">
            <v>25.993640213723879</v>
          </cell>
          <cell r="BF42">
            <v>34.019225776488021</v>
          </cell>
          <cell r="BG42">
            <v>41.320331493634718</v>
          </cell>
          <cell r="BH42">
            <v>46.659344840693024</v>
          </cell>
          <cell r="BI42">
            <v>50.383685885921409</v>
          </cell>
          <cell r="BJ42">
            <v>52.341132707284743</v>
          </cell>
          <cell r="BK42" t="e">
            <v>#N/A</v>
          </cell>
          <cell r="BL42">
            <v>48.049694074206428</v>
          </cell>
          <cell r="BM42" t="e">
            <v>#N/A</v>
          </cell>
          <cell r="BN42">
            <v>36.062552632588854</v>
          </cell>
          <cell r="BO42" t="e">
            <v>#N/A</v>
          </cell>
          <cell r="BP42">
            <v>16.4012175584635</v>
          </cell>
          <cell r="BQ42">
            <v>0</v>
          </cell>
        </row>
        <row r="43">
          <cell r="BE43">
            <v>19.278103311643349</v>
          </cell>
          <cell r="BF43">
            <v>29.718453083743562</v>
          </cell>
          <cell r="BG43">
            <v>34.934211333859629</v>
          </cell>
          <cell r="BH43">
            <v>38.005133103223116</v>
          </cell>
          <cell r="BI43">
            <v>40.04655051520448</v>
          </cell>
          <cell r="BJ43">
            <v>41.184016751900849</v>
          </cell>
          <cell r="BK43" t="e">
            <v>#N/A</v>
          </cell>
          <cell r="BL43">
            <v>36.769549961151228</v>
          </cell>
          <cell r="BM43" t="e">
            <v>#N/A</v>
          </cell>
          <cell r="BN43">
            <v>28.614360451365602</v>
          </cell>
          <cell r="BO43" t="e">
            <v>#N/A</v>
          </cell>
          <cell r="BP43">
            <v>14.161990334909662</v>
          </cell>
          <cell r="BQ43">
            <v>0</v>
          </cell>
        </row>
        <row r="44">
          <cell r="BE44">
            <v>20.867261688267018</v>
          </cell>
          <cell r="BF44">
            <v>28.150859435144078</v>
          </cell>
          <cell r="BG44">
            <v>32.11461828505464</v>
          </cell>
          <cell r="BH44">
            <v>35.09092537493347</v>
          </cell>
          <cell r="BI44">
            <v>37.293804828862193</v>
          </cell>
          <cell r="BJ44">
            <v>38.797917158796437</v>
          </cell>
          <cell r="BK44" t="e">
            <v>#N/A</v>
          </cell>
          <cell r="BL44">
            <v>36.946263269209986</v>
          </cell>
          <cell r="BM44" t="e">
            <v>#N/A</v>
          </cell>
          <cell r="BN44">
            <v>29.354915374272853</v>
          </cell>
          <cell r="BO44" t="e">
            <v>#N/A</v>
          </cell>
          <cell r="BP44">
            <v>14.384759835024539</v>
          </cell>
          <cell r="BQ44">
            <v>0</v>
          </cell>
        </row>
        <row r="45">
          <cell r="BE45">
            <v>20.018215494670226</v>
          </cell>
          <cell r="BF45">
            <v>30.781406726240579</v>
          </cell>
          <cell r="BG45">
            <v>34.349150015133233</v>
          </cell>
          <cell r="BH45">
            <v>38.775154152162919</v>
          </cell>
          <cell r="BI45">
            <v>41.851176776009673</v>
          </cell>
          <cell r="BJ45">
            <v>41.789209871348035</v>
          </cell>
          <cell r="BK45" t="e">
            <v>#N/A</v>
          </cell>
          <cell r="BL45">
            <v>36.18042284914268</v>
          </cell>
          <cell r="BM45" t="e">
            <v>#N/A</v>
          </cell>
          <cell r="BN45">
            <v>25.366796964215112</v>
          </cell>
          <cell r="BO45" t="e">
            <v>#N/A</v>
          </cell>
          <cell r="BP45">
            <v>13.194596102053655</v>
          </cell>
          <cell r="BQ45">
            <v>0</v>
          </cell>
        </row>
        <row r="46">
          <cell r="BE46">
            <v>20.01860781573421</v>
          </cell>
          <cell r="BF46">
            <v>29.285684519222727</v>
          </cell>
          <cell r="BG46">
            <v>35.68276879546238</v>
          </cell>
          <cell r="BH46">
            <v>39.868283182847946</v>
          </cell>
          <cell r="BI46">
            <v>43.012767459767211</v>
          </cell>
          <cell r="BJ46">
            <v>45.69656333499718</v>
          </cell>
          <cell r="BK46" t="e">
            <v>#N/A</v>
          </cell>
          <cell r="BL46">
            <v>39.683999297109224</v>
          </cell>
          <cell r="BM46" t="e">
            <v>#N/A</v>
          </cell>
          <cell r="BN46">
            <v>31.841281249979147</v>
          </cell>
          <cell r="BO46">
            <v>28.246867299440368</v>
          </cell>
          <cell r="BP46">
            <v>14.827207307509127</v>
          </cell>
          <cell r="BQ46">
            <v>0</v>
          </cell>
        </row>
        <row r="47">
          <cell r="BE47">
            <v>13.225038377870131</v>
          </cell>
          <cell r="BF47">
            <v>20.140419302182142</v>
          </cell>
          <cell r="BG47">
            <v>23.527996031127</v>
          </cell>
          <cell r="BH47">
            <v>25.108925719161032</v>
          </cell>
          <cell r="BI47">
            <v>27.178735538751635</v>
          </cell>
          <cell r="BJ47">
            <v>29.086443274299789</v>
          </cell>
          <cell r="BK47" t="e">
            <v>#N/A</v>
          </cell>
          <cell r="BL47">
            <v>29.891436775945195</v>
          </cell>
          <cell r="BM47" t="e">
            <v>#N/A</v>
          </cell>
          <cell r="BN47">
            <v>25.26934632214369</v>
          </cell>
          <cell r="BO47" t="e">
            <v>#N/A</v>
          </cell>
          <cell r="BP47">
            <v>13.507040520228511</v>
          </cell>
          <cell r="BQ47">
            <v>0</v>
          </cell>
        </row>
        <row r="64">
          <cell r="BE64">
            <v>2000</v>
          </cell>
          <cell r="BF64">
            <v>1500</v>
          </cell>
          <cell r="BG64">
            <v>1250</v>
          </cell>
          <cell r="BH64">
            <v>1000</v>
          </cell>
          <cell r="BI64">
            <v>750</v>
          </cell>
          <cell r="BJ64">
            <v>500</v>
          </cell>
          <cell r="BK64">
            <v>350</v>
          </cell>
          <cell r="BL64">
            <v>250</v>
          </cell>
          <cell r="BM64">
            <v>200</v>
          </cell>
          <cell r="BN64">
            <v>125</v>
          </cell>
          <cell r="BO64">
            <v>100</v>
          </cell>
          <cell r="BP64">
            <v>50</v>
          </cell>
          <cell r="BQ64">
            <v>1.0000800000000001E-2</v>
          </cell>
        </row>
        <row r="65">
          <cell r="BC65" t="str">
            <v>Experimental_SD</v>
          </cell>
          <cell r="BE65">
            <v>11.540996402511734</v>
          </cell>
          <cell r="BF65">
            <v>16.30910093927374</v>
          </cell>
          <cell r="BG65">
            <v>18.190379297012324</v>
          </cell>
          <cell r="BH65">
            <v>20.261174922983766</v>
          </cell>
          <cell r="BI65">
            <v>21.969407555178329</v>
          </cell>
          <cell r="BJ65">
            <v>23.654571673054811</v>
          </cell>
          <cell r="BK65" t="e">
            <v>#N/A</v>
          </cell>
          <cell r="BL65">
            <v>23.348053565843049</v>
          </cell>
          <cell r="BM65" t="e">
            <v>#N/A</v>
          </cell>
          <cell r="BN65">
            <v>21.034123423559226</v>
          </cell>
          <cell r="BO65" t="e">
            <v>#N/A</v>
          </cell>
          <cell r="BP65">
            <v>12.410457812309291</v>
          </cell>
          <cell r="BQ65">
            <v>0</v>
          </cell>
        </row>
        <row r="66">
          <cell r="BE66">
            <v>13.745593379497235</v>
          </cell>
          <cell r="BF66">
            <v>19.274910264766593</v>
          </cell>
          <cell r="BG66">
            <v>21.920178136724775</v>
          </cell>
          <cell r="BH66">
            <v>23.798144742736255</v>
          </cell>
          <cell r="BI66">
            <v>26.459725596151369</v>
          </cell>
          <cell r="BJ66">
            <v>27.724867561156508</v>
          </cell>
          <cell r="BK66" t="e">
            <v>#N/A</v>
          </cell>
          <cell r="BL66">
            <v>26.85374244696883</v>
          </cell>
          <cell r="BM66" t="e">
            <v>#N/A</v>
          </cell>
          <cell r="BN66">
            <v>23.071902990284645</v>
          </cell>
          <cell r="BO66" t="e">
            <v>#N/A</v>
          </cell>
          <cell r="BP66">
            <v>13.540166098646582</v>
          </cell>
          <cell r="BQ66">
            <v>0</v>
          </cell>
        </row>
        <row r="67">
          <cell r="BE67">
            <v>32.317739035290757</v>
          </cell>
          <cell r="BF67">
            <v>47.046127006789959</v>
          </cell>
          <cell r="BG67">
            <v>54.298171080477211</v>
          </cell>
          <cell r="BH67">
            <v>59.414402260117917</v>
          </cell>
          <cell r="BI67">
            <v>61.946133008606751</v>
          </cell>
          <cell r="BJ67">
            <v>63.488086205736018</v>
          </cell>
          <cell r="BK67" t="e">
            <v>#N/A</v>
          </cell>
          <cell r="BL67">
            <v>55.49936015644483</v>
          </cell>
          <cell r="BM67" t="e">
            <v>#N/A</v>
          </cell>
          <cell r="BN67">
            <v>35.402331568579406</v>
          </cell>
          <cell r="BO67" t="e">
            <v>#N/A</v>
          </cell>
          <cell r="BP67">
            <v>15.175083150327152</v>
          </cell>
          <cell r="BQ67">
            <v>0</v>
          </cell>
        </row>
        <row r="68">
          <cell r="BE68">
            <v>15.378243409881007</v>
          </cell>
          <cell r="BF68">
            <v>20.639916499404997</v>
          </cell>
          <cell r="BG68">
            <v>22.786106499426737</v>
          </cell>
          <cell r="BH68">
            <v>25.081632553873821</v>
          </cell>
          <cell r="BI68">
            <v>26.518241369248578</v>
          </cell>
          <cell r="BJ68">
            <v>27.579312186731041</v>
          </cell>
          <cell r="BK68" t="e">
            <v>#N/A</v>
          </cell>
          <cell r="BL68">
            <v>27.496889175768345</v>
          </cell>
          <cell r="BM68" t="e">
            <v>#N/A</v>
          </cell>
          <cell r="BN68">
            <v>24.464968185108713</v>
          </cell>
          <cell r="BO68" t="e">
            <v>#N/A</v>
          </cell>
          <cell r="BP68">
            <v>12.62760656522034</v>
          </cell>
          <cell r="BQ68">
            <v>0</v>
          </cell>
        </row>
        <row r="69">
          <cell r="BE69">
            <v>4.441173238375832</v>
          </cell>
          <cell r="BF69">
            <v>8.4342997603387975</v>
          </cell>
          <cell r="BG69">
            <v>10.698415740138334</v>
          </cell>
          <cell r="BH69">
            <v>11.493258762699536</v>
          </cell>
          <cell r="BI69">
            <v>12.581736610350468</v>
          </cell>
          <cell r="BJ69">
            <v>13.307646609231098</v>
          </cell>
          <cell r="BK69" t="e">
            <v>#N/A</v>
          </cell>
          <cell r="BL69">
            <v>14.105352161308938</v>
          </cell>
          <cell r="BM69" t="e">
            <v>#N/A</v>
          </cell>
          <cell r="BN69">
            <v>13.586619487947733</v>
          </cell>
          <cell r="BO69" t="e">
            <v>#N/A</v>
          </cell>
          <cell r="BP69">
            <v>9.3547422698794929</v>
          </cell>
          <cell r="BQ69">
            <v>0</v>
          </cell>
        </row>
        <row r="70">
          <cell r="BE70">
            <v>0.13512092333093745</v>
          </cell>
          <cell r="BF70">
            <v>2.3695125804415218</v>
          </cell>
          <cell r="BG70">
            <v>3.2919863239207507</v>
          </cell>
          <cell r="BH70">
            <v>4.1476407934078932</v>
          </cell>
          <cell r="BI70">
            <v>4.629104225639872</v>
          </cell>
          <cell r="BJ70">
            <v>4.8240495188978372</v>
          </cell>
          <cell r="BK70" t="e">
            <v>#N/A</v>
          </cell>
          <cell r="BL70">
            <v>5.129650722423639</v>
          </cell>
          <cell r="BM70" t="e">
            <v>#N/A</v>
          </cell>
          <cell r="BN70">
            <v>4.9537657637736672</v>
          </cell>
          <cell r="BO70" t="e">
            <v>#N/A</v>
          </cell>
          <cell r="BP70">
            <v>3.6803194508827302</v>
          </cell>
          <cell r="BQ70">
            <v>0</v>
          </cell>
        </row>
        <row r="71">
          <cell r="BE71">
            <v>14.806141303802804</v>
          </cell>
          <cell r="BF71">
            <v>18.173923630405397</v>
          </cell>
          <cell r="BG71">
            <v>20.103835935725268</v>
          </cell>
          <cell r="BH71">
            <v>22.666998784090445</v>
          </cell>
          <cell r="BI71">
            <v>25.217241771272285</v>
          </cell>
          <cell r="BJ71">
            <v>26.554736217313309</v>
          </cell>
          <cell r="BK71" t="e">
            <v>#N/A</v>
          </cell>
          <cell r="BL71">
            <v>26.913507847268509</v>
          </cell>
          <cell r="BM71" t="e">
            <v>#N/A</v>
          </cell>
          <cell r="BN71">
            <v>23.500583994906101</v>
          </cell>
          <cell r="BO71" t="e">
            <v>#N/A</v>
          </cell>
          <cell r="BP71">
            <v>13.289009561826678</v>
          </cell>
          <cell r="BQ71">
            <v>0</v>
          </cell>
        </row>
        <row r="72">
          <cell r="BE72">
            <v>19.012598202500712</v>
          </cell>
          <cell r="BF72">
            <v>21.998723711102016</v>
          </cell>
          <cell r="BG72">
            <v>23.359005873134631</v>
          </cell>
          <cell r="BH72">
            <v>25.237227795553164</v>
          </cell>
          <cell r="BI72">
            <v>25.760241988651615</v>
          </cell>
          <cell r="BJ72">
            <v>26.76338698756528</v>
          </cell>
          <cell r="BK72" t="e">
            <v>#N/A</v>
          </cell>
          <cell r="BL72">
            <v>25.48881354391359</v>
          </cell>
          <cell r="BM72" t="e">
            <v>#N/A</v>
          </cell>
          <cell r="BN72">
            <v>21.766439345662967</v>
          </cell>
          <cell r="BO72" t="e">
            <v>#N/A</v>
          </cell>
          <cell r="BP72">
            <v>12.279407148256501</v>
          </cell>
          <cell r="BQ72">
            <v>0</v>
          </cell>
        </row>
        <row r="73">
          <cell r="BE73">
            <v>5.2366175421352263</v>
          </cell>
          <cell r="BF73">
            <v>8.1753362314223779</v>
          </cell>
          <cell r="BG73">
            <v>10.638251042776389</v>
          </cell>
          <cell r="BH73">
            <v>11.676976312879766</v>
          </cell>
          <cell r="BI73">
            <v>13.639569770368615</v>
          </cell>
          <cell r="BJ73">
            <v>14.501027954900895</v>
          </cell>
          <cell r="BK73" t="e">
            <v>#N/A</v>
          </cell>
          <cell r="BL73">
            <v>15.603439143341115</v>
          </cell>
          <cell r="BM73" t="e">
            <v>#N/A</v>
          </cell>
          <cell r="BN73">
            <v>15.17583330250948</v>
          </cell>
          <cell r="BO73" t="e">
            <v>#N/A</v>
          </cell>
          <cell r="BP73">
            <v>10.845732158241963</v>
          </cell>
          <cell r="BQ73">
            <v>0</v>
          </cell>
        </row>
        <row r="74">
          <cell r="BE74">
            <v>10.272546024196112</v>
          </cell>
          <cell r="BF74">
            <v>18.699694291408427</v>
          </cell>
          <cell r="BG74">
            <v>22.566941434523695</v>
          </cell>
          <cell r="BH74">
            <v>25.613442374726336</v>
          </cell>
          <cell r="BI74">
            <v>26.94997417793396</v>
          </cell>
          <cell r="BJ74">
            <v>28.843903133621914</v>
          </cell>
          <cell r="BK74" t="e">
            <v>#N/A</v>
          </cell>
          <cell r="BL74">
            <v>28.390892353873546</v>
          </cell>
          <cell r="BM74" t="e">
            <v>#N/A</v>
          </cell>
          <cell r="BN74">
            <v>24.418957524422691</v>
          </cell>
          <cell r="BO74" t="e">
            <v>#N/A</v>
          </cell>
          <cell r="BP74">
            <v>13.663287696957083</v>
          </cell>
          <cell r="BQ74">
            <v>0</v>
          </cell>
        </row>
        <row r="75">
          <cell r="BE75">
            <v>13.479416683250157</v>
          </cell>
          <cell r="BF75">
            <v>17.874900858029665</v>
          </cell>
          <cell r="BG75">
            <v>20.441286260567516</v>
          </cell>
          <cell r="BH75">
            <v>22.716607031560436</v>
          </cell>
          <cell r="BI75">
            <v>24.350189218693746</v>
          </cell>
          <cell r="BJ75">
            <v>25.592104361466813</v>
          </cell>
          <cell r="BK75" t="e">
            <v>#N/A</v>
          </cell>
          <cell r="BL75">
            <v>25.6215672128404</v>
          </cell>
          <cell r="BM75" t="e">
            <v>#N/A</v>
          </cell>
          <cell r="BN75">
            <v>22.843047622066287</v>
          </cell>
          <cell r="BO75" t="e">
            <v>#N/A</v>
          </cell>
          <cell r="BP75">
            <v>13.731687604131587</v>
          </cell>
          <cell r="BQ75">
            <v>0</v>
          </cell>
        </row>
        <row r="76">
          <cell r="BE76">
            <v>11.460078104015393</v>
          </cell>
          <cell r="BF76">
            <v>14.32857286610454</v>
          </cell>
          <cell r="BG76">
            <v>14.72534056616202</v>
          </cell>
          <cell r="BH76">
            <v>14.997588385323171</v>
          </cell>
          <cell r="BI76">
            <v>16.182159275530616</v>
          </cell>
          <cell r="BJ76">
            <v>16.313948687299916</v>
          </cell>
          <cell r="BK76" t="e">
            <v>#N/A</v>
          </cell>
          <cell r="BL76">
            <v>16.147547471562934</v>
          </cell>
          <cell r="BM76" t="e">
            <v>#N/A</v>
          </cell>
          <cell r="BN76">
            <v>14.640125471584582</v>
          </cell>
          <cell r="BO76" t="e">
            <v>#N/A</v>
          </cell>
          <cell r="BP76">
            <v>10.541024314910278</v>
          </cell>
          <cell r="BQ76">
            <v>0</v>
          </cell>
        </row>
        <row r="77">
          <cell r="BE77">
            <v>11.694247219149092</v>
          </cell>
          <cell r="BF77">
            <v>17.499986800226122</v>
          </cell>
          <cell r="BG77">
            <v>21.41913191198903</v>
          </cell>
          <cell r="BH77">
            <v>23.86460624254536</v>
          </cell>
          <cell r="BI77">
            <v>25.281086932133089</v>
          </cell>
          <cell r="BJ77">
            <v>27.715538544855605</v>
          </cell>
          <cell r="BK77" t="e">
            <v>#N/A</v>
          </cell>
          <cell r="BL77">
            <v>28.023745863349976</v>
          </cell>
          <cell r="BM77" t="e">
            <v>#N/A</v>
          </cell>
          <cell r="BN77">
            <v>24.817293006956636</v>
          </cell>
          <cell r="BO77" t="e">
            <v>#N/A</v>
          </cell>
          <cell r="BP77">
            <v>13.800226469487772</v>
          </cell>
          <cell r="BQ77">
            <v>0</v>
          </cell>
        </row>
        <row r="78">
          <cell r="BE78">
            <v>15.173885359164462</v>
          </cell>
          <cell r="BF78">
            <v>22.515035498768398</v>
          </cell>
          <cell r="BG78">
            <v>25.647070466761466</v>
          </cell>
          <cell r="BH78">
            <v>28.981061602788827</v>
          </cell>
          <cell r="BI78">
            <v>30.46685783401195</v>
          </cell>
          <cell r="BJ78">
            <v>32.205287930615711</v>
          </cell>
          <cell r="BK78" t="e">
            <v>#N/A</v>
          </cell>
          <cell r="BL78">
            <v>31.913770833370691</v>
          </cell>
          <cell r="BM78" t="e">
            <v>#N/A</v>
          </cell>
          <cell r="BN78">
            <v>26.88316089070619</v>
          </cell>
          <cell r="BO78" t="e">
            <v>#N/A</v>
          </cell>
          <cell r="BP78">
            <v>14.089113785288719</v>
          </cell>
          <cell r="BQ78">
            <v>0</v>
          </cell>
        </row>
      </sheetData>
      <sheetData sheetId="9" refreshError="1"/>
      <sheetData sheetId="10">
        <row r="6">
          <cell r="D6">
            <v>2000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9"/>
  <sheetViews>
    <sheetView topLeftCell="O1" workbookViewId="0">
      <selection activeCell="W2" sqref="W1:Y2"/>
    </sheetView>
  </sheetViews>
  <sheetFormatPr baseColWidth="10" defaultColWidth="11.453125" defaultRowHeight="14.5" x14ac:dyDescent="0.35"/>
  <cols>
    <col min="1" max="2" width="11.453125" style="5"/>
    <col min="3" max="3" width="13.7265625" style="5" customWidth="1"/>
    <col min="4" max="4" width="26.81640625" style="5" customWidth="1"/>
    <col min="5" max="5" width="13.54296875" style="5" bestFit="1" customWidth="1"/>
    <col min="6" max="6" width="17.7265625" style="5" customWidth="1"/>
    <col min="7" max="7" width="19.1796875" style="5" customWidth="1"/>
    <col min="8" max="8" width="14.7265625" style="5" customWidth="1"/>
    <col min="9" max="12" width="11.453125" style="5"/>
    <col min="13" max="15" width="11.453125" style="6"/>
    <col min="16" max="25" width="11.453125" style="8"/>
    <col min="26" max="26" width="11.453125" style="5"/>
    <col min="27" max="39" width="10.90625" customWidth="1"/>
    <col min="40" max="16384" width="11.453125" style="5"/>
  </cols>
  <sheetData>
    <row r="1" spans="1:39" ht="13" thickTop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/>
      <c r="L1" s="23"/>
      <c r="M1" s="25" t="s">
        <v>387</v>
      </c>
      <c r="N1" s="25" t="s">
        <v>0</v>
      </c>
      <c r="O1" s="25" t="s">
        <v>1</v>
      </c>
      <c r="P1" s="26" t="s">
        <v>2</v>
      </c>
      <c r="Q1" s="27" t="s">
        <v>3</v>
      </c>
      <c r="R1" s="26" t="s">
        <v>4</v>
      </c>
      <c r="S1" s="26" t="s">
        <v>5</v>
      </c>
      <c r="T1" s="26" t="s">
        <v>391</v>
      </c>
      <c r="U1" s="26" t="s">
        <v>6</v>
      </c>
      <c r="V1" s="26" t="s">
        <v>365</v>
      </c>
      <c r="W1" s="26" t="s">
        <v>7</v>
      </c>
      <c r="X1" s="26" t="s">
        <v>8</v>
      </c>
      <c r="Y1" s="26" t="s">
        <v>388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7" thickTop="1" thickBot="1" x14ac:dyDescent="0.35">
      <c r="A2" s="2" t="s">
        <v>10</v>
      </c>
      <c r="B2" s="2" t="s">
        <v>11</v>
      </c>
      <c r="C2" s="2" t="s">
        <v>12</v>
      </c>
      <c r="D2" s="2" t="s">
        <v>13</v>
      </c>
      <c r="E2" s="2" t="s">
        <v>12</v>
      </c>
      <c r="F2" s="2" t="s">
        <v>14</v>
      </c>
      <c r="G2" s="2" t="s">
        <v>14</v>
      </c>
      <c r="H2" s="2" t="s">
        <v>12</v>
      </c>
      <c r="I2" s="2" t="s">
        <v>15</v>
      </c>
      <c r="J2" s="2" t="s">
        <v>15</v>
      </c>
      <c r="K2" s="24"/>
      <c r="L2" s="24"/>
      <c r="M2" s="2"/>
      <c r="N2" s="2" t="s">
        <v>10</v>
      </c>
      <c r="O2" s="2" t="s">
        <v>11</v>
      </c>
      <c r="P2" s="2" t="s">
        <v>12</v>
      </c>
      <c r="Q2" s="2" t="s">
        <v>13</v>
      </c>
      <c r="R2" s="2" t="s">
        <v>12</v>
      </c>
      <c r="S2" s="2" t="s">
        <v>14</v>
      </c>
      <c r="T2" s="2" t="s">
        <v>14</v>
      </c>
      <c r="U2" s="2" t="s">
        <v>14</v>
      </c>
      <c r="V2" s="2" t="s">
        <v>392</v>
      </c>
      <c r="W2" s="2" t="s">
        <v>12</v>
      </c>
      <c r="X2" s="2" t="s">
        <v>15</v>
      </c>
      <c r="Y2" s="2" t="s">
        <v>15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3" thickTop="1" thickBot="1" x14ac:dyDescent="0.35">
      <c r="A3" s="4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/>
      <c r="L3" s="3"/>
      <c r="N3" s="6" t="s">
        <v>16</v>
      </c>
      <c r="O3" s="6" t="s">
        <v>17</v>
      </c>
      <c r="P3" s="8">
        <f>AVERAGE(P4:P6)*0.85</f>
        <v>9.8504801543203335</v>
      </c>
      <c r="Q3" s="7">
        <f>AVERAGE(Q4:Q7)*0.9</f>
        <v>4.4777327011762499E-2</v>
      </c>
      <c r="R3" s="8">
        <v>4.2365559704099998E-2</v>
      </c>
      <c r="S3" s="8">
        <v>86.729815678028572</v>
      </c>
      <c r="T3" s="8">
        <v>152.64028205683863</v>
      </c>
      <c r="U3" s="8">
        <v>593.40000679557443</v>
      </c>
      <c r="V3" s="8">
        <f>1/Q3</f>
        <v>22.332731021155222</v>
      </c>
      <c r="W3" s="8">
        <f>AVERAGE(W4:W6)</f>
        <v>201.43787018166668</v>
      </c>
      <c r="X3" s="8">
        <v>0.230115447438</v>
      </c>
      <c r="Y3" s="8">
        <v>0.83230862779541925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3" thickTop="1" thickBot="1" x14ac:dyDescent="0.35">
      <c r="A4" s="44"/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24"/>
      <c r="L4" s="24"/>
      <c r="N4" s="6" t="s">
        <v>16</v>
      </c>
      <c r="O4" s="6" t="s">
        <v>17</v>
      </c>
      <c r="P4" s="8">
        <v>12.6870098163</v>
      </c>
      <c r="Q4" s="8">
        <v>5.2570442976599997E-2</v>
      </c>
      <c r="R4" s="8">
        <v>1.06895208479</v>
      </c>
      <c r="S4" s="8">
        <v>146.52906794306932</v>
      </c>
      <c r="T4" s="8">
        <v>246.87125547857212</v>
      </c>
      <c r="U4" s="8">
        <v>927.7418438299004</v>
      </c>
      <c r="V4" s="8">
        <f>1/Q4</f>
        <v>19.022095751506548</v>
      </c>
      <c r="W4" s="8">
        <v>183.747365403</v>
      </c>
      <c r="X4" s="8">
        <v>0.28343390010699998</v>
      </c>
      <c r="Y4" s="8">
        <v>0.83230862779541925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3" thickTop="1" thickBot="1" x14ac:dyDescent="0.35">
      <c r="A5" s="45"/>
      <c r="B5" s="3" t="s">
        <v>35</v>
      </c>
      <c r="C5" s="3" t="s">
        <v>36</v>
      </c>
      <c r="D5" s="3" t="s">
        <v>37</v>
      </c>
      <c r="E5" s="3" t="s">
        <v>38</v>
      </c>
      <c r="F5" s="3" t="s">
        <v>39</v>
      </c>
      <c r="G5" s="3" t="s">
        <v>40</v>
      </c>
      <c r="H5" s="3" t="s">
        <v>41</v>
      </c>
      <c r="I5" s="3" t="s">
        <v>42</v>
      </c>
      <c r="J5" s="3" t="s">
        <v>43</v>
      </c>
      <c r="K5" s="3"/>
      <c r="L5" s="3"/>
      <c r="N5" s="6" t="s">
        <v>16</v>
      </c>
      <c r="O5" s="6" t="s">
        <v>17</v>
      </c>
      <c r="P5" s="8">
        <v>13.010557583700001</v>
      </c>
      <c r="Q5" s="8">
        <v>4.49767567577E-2</v>
      </c>
      <c r="R5" s="8">
        <v>0.98463992555900004</v>
      </c>
      <c r="S5" s="8">
        <v>173.88528551111011</v>
      </c>
      <c r="T5" s="8">
        <v>294.38734602748787</v>
      </c>
      <c r="U5" s="8">
        <v>1110.6832078954033</v>
      </c>
      <c r="V5" s="8">
        <f>1/Q5</f>
        <v>22.233706298282623</v>
      </c>
      <c r="W5" s="8">
        <v>249.26780528200001</v>
      </c>
      <c r="X5" s="8">
        <v>0.24003201041200001</v>
      </c>
      <c r="Y5" s="8">
        <v>0.80798594689547998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3" thickTop="1" thickBot="1" x14ac:dyDescent="0.35">
      <c r="A6" s="43" t="s">
        <v>44</v>
      </c>
      <c r="B6" s="4" t="s">
        <v>17</v>
      </c>
      <c r="C6" s="4" t="s">
        <v>45</v>
      </c>
      <c r="D6" s="4" t="s">
        <v>46</v>
      </c>
      <c r="E6" s="4" t="s">
        <v>47</v>
      </c>
      <c r="F6" s="4" t="s">
        <v>48</v>
      </c>
      <c r="G6" s="4" t="s">
        <v>49</v>
      </c>
      <c r="H6" s="4" t="s">
        <v>50</v>
      </c>
      <c r="I6" s="4" t="s">
        <v>51</v>
      </c>
      <c r="J6" s="4" t="s">
        <v>52</v>
      </c>
      <c r="K6" s="24"/>
      <c r="L6" s="24"/>
      <c r="N6" s="6" t="s">
        <v>16</v>
      </c>
      <c r="O6" s="6" t="s">
        <v>17</v>
      </c>
      <c r="P6" s="8">
        <v>9.0688331446599992</v>
      </c>
      <c r="Q6" s="8">
        <v>5.2259236017900002E-2</v>
      </c>
      <c r="R6" s="8">
        <v>1.3741626983999999</v>
      </c>
      <c r="S6" s="8">
        <v>113.8568560248153</v>
      </c>
      <c r="T6" s="8">
        <v>184.95773871935887</v>
      </c>
      <c r="U6" s="8">
        <v>673.73372375001998</v>
      </c>
      <c r="V6" s="8">
        <f>1/Q6</f>
        <v>19.135373499480107</v>
      </c>
      <c r="W6" s="8">
        <v>171.29843986</v>
      </c>
      <c r="X6" s="8">
        <v>0.232422661611</v>
      </c>
      <c r="Y6" s="8">
        <v>0.83230862779541925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3" thickTop="1" thickBot="1" x14ac:dyDescent="0.35">
      <c r="A7" s="44"/>
      <c r="B7" s="3" t="s">
        <v>26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/>
      <c r="L7" s="3"/>
      <c r="N7" s="6" t="s">
        <v>16</v>
      </c>
      <c r="O7" s="6" t="s">
        <v>17</v>
      </c>
      <c r="P7" s="8">
        <f>AVERAGE(P3:P6)</f>
        <v>11.154220174745083</v>
      </c>
      <c r="Q7" s="8">
        <v>4.9203906522300001E-2</v>
      </c>
      <c r="R7" s="8">
        <v>1.0636730784599999</v>
      </c>
      <c r="S7" s="8">
        <v>203.91363969532864</v>
      </c>
      <c r="T7" s="8">
        <v>347.79279603376131</v>
      </c>
      <c r="U7" s="8">
        <v>1319.9845221109049</v>
      </c>
      <c r="V7" s="8">
        <f>1/Q7</f>
        <v>20.323589541549591</v>
      </c>
      <c r="W7" s="8">
        <f>AVERAGE(W3:W6)*1.1</f>
        <v>221.58165719983336</v>
      </c>
      <c r="X7" s="8">
        <v>0.24242448291599999</v>
      </c>
      <c r="Y7" s="8">
        <v>0.83230862779541925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3" thickTop="1" thickBot="1" x14ac:dyDescent="0.35">
      <c r="A8" s="45"/>
      <c r="B8" s="4" t="s">
        <v>35</v>
      </c>
      <c r="C8" s="4" t="s">
        <v>61</v>
      </c>
      <c r="D8" s="4" t="s">
        <v>62</v>
      </c>
      <c r="E8" s="4" t="s">
        <v>63</v>
      </c>
      <c r="F8" s="4" t="s">
        <v>64</v>
      </c>
      <c r="G8" s="4" t="s">
        <v>65</v>
      </c>
      <c r="H8" s="4" t="s">
        <v>66</v>
      </c>
      <c r="I8" s="4" t="s">
        <v>67</v>
      </c>
      <c r="J8" s="4" t="s">
        <v>68</v>
      </c>
      <c r="K8" s="24"/>
      <c r="L8" s="24"/>
      <c r="M8" s="9" t="s">
        <v>362</v>
      </c>
      <c r="N8" s="10" t="s">
        <v>16</v>
      </c>
      <c r="O8" s="10" t="s">
        <v>17</v>
      </c>
      <c r="P8" s="11">
        <f t="shared" ref="P8:Y8" si="0">AVERAGE(P3:P7)</f>
        <v>11.154220174745083</v>
      </c>
      <c r="Q8" s="11">
        <f t="shared" si="0"/>
        <v>4.8757533857252497E-2</v>
      </c>
      <c r="R8" s="11">
        <f t="shared" si="0"/>
        <v>0.90675866938262006</v>
      </c>
      <c r="S8" s="11">
        <f t="shared" si="0"/>
        <v>144.98293297047039</v>
      </c>
      <c r="T8" s="11">
        <f t="shared" si="0"/>
        <v>245.32988366320379</v>
      </c>
      <c r="U8" s="11">
        <f t="shared" si="0"/>
        <v>925.10866087636055</v>
      </c>
      <c r="V8" s="11">
        <f t="shared" si="0"/>
        <v>20.60949922239482</v>
      </c>
      <c r="W8" s="11">
        <f t="shared" si="0"/>
        <v>205.46662758530002</v>
      </c>
      <c r="X8" s="11">
        <f t="shared" si="0"/>
        <v>0.24568570049679997</v>
      </c>
      <c r="Y8" s="11">
        <f t="shared" si="0"/>
        <v>0.82744409161543153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3" thickTop="1" thickBot="1" x14ac:dyDescent="0.35">
      <c r="A9" s="43" t="s">
        <v>69</v>
      </c>
      <c r="B9" s="3" t="s">
        <v>17</v>
      </c>
      <c r="C9" s="3" t="s">
        <v>70</v>
      </c>
      <c r="D9" s="3" t="s">
        <v>71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/>
      <c r="L9" s="3"/>
      <c r="M9" s="9" t="s">
        <v>363</v>
      </c>
      <c r="N9" s="12" t="s">
        <v>16</v>
      </c>
      <c r="O9" s="12" t="s">
        <v>17</v>
      </c>
      <c r="P9" s="13">
        <f t="shared" ref="P9:Y9" si="1">_xlfn.STDEV.S(P3:P7)</f>
        <v>1.7207563574811886</v>
      </c>
      <c r="Q9" s="13">
        <f t="shared" si="1"/>
        <v>3.7794101570143976E-3</v>
      </c>
      <c r="R9" s="13">
        <f t="shared" si="1"/>
        <v>0.50562740734720024</v>
      </c>
      <c r="S9" s="13">
        <f t="shared" si="1"/>
        <v>46.563996421972838</v>
      </c>
      <c r="T9" s="13">
        <f t="shared" si="1"/>
        <v>79.284010026013618</v>
      </c>
      <c r="U9" s="13">
        <f t="shared" si="1"/>
        <v>301.49286150208894</v>
      </c>
      <c r="V9" s="13">
        <f t="shared" si="1"/>
        <v>1.6110724091091466</v>
      </c>
      <c r="W9" s="13">
        <f t="shared" si="1"/>
        <v>30.958276904114562</v>
      </c>
      <c r="X9" s="13">
        <f t="shared" si="1"/>
        <v>2.1713286867129884E-2</v>
      </c>
      <c r="Y9" s="13">
        <f t="shared" si="1"/>
        <v>1.0877433577459995E-2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3" thickTop="1" thickBot="1" x14ac:dyDescent="0.35">
      <c r="A10" s="44"/>
      <c r="B10" s="4" t="s">
        <v>26</v>
      </c>
      <c r="C10" s="4" t="s">
        <v>78</v>
      </c>
      <c r="D10" s="4" t="s">
        <v>79</v>
      </c>
      <c r="E10" s="4" t="s">
        <v>80</v>
      </c>
      <c r="F10" s="4" t="s">
        <v>81</v>
      </c>
      <c r="G10" s="4" t="s">
        <v>82</v>
      </c>
      <c r="H10" s="4" t="s">
        <v>83</v>
      </c>
      <c r="I10" s="4" t="s">
        <v>84</v>
      </c>
      <c r="J10" s="4" t="s">
        <v>85</v>
      </c>
      <c r="K10" s="24"/>
      <c r="L10" s="24"/>
      <c r="M10" s="14" t="s">
        <v>364</v>
      </c>
      <c r="N10" s="15" t="s">
        <v>16</v>
      </c>
      <c r="O10" s="15" t="s">
        <v>17</v>
      </c>
      <c r="P10" s="16">
        <f>P9/P8</f>
        <v>0.15426953480596098</v>
      </c>
      <c r="Q10" s="16">
        <f t="shared" ref="Q10:Y10" si="2">Q9/SQRT(COUNT(Q3:Q7))</f>
        <v>1.6902036051874693E-3</v>
      </c>
      <c r="R10" s="16">
        <f t="shared" si="2"/>
        <v>0.22612345082306326</v>
      </c>
      <c r="S10" s="16">
        <f t="shared" si="2"/>
        <v>20.82405226071765</v>
      </c>
      <c r="T10" s="16">
        <f t="shared" si="2"/>
        <v>35.456887189388262</v>
      </c>
      <c r="U10" s="16">
        <f t="shared" si="2"/>
        <v>134.83170660992005</v>
      </c>
      <c r="V10" s="16">
        <f t="shared" si="2"/>
        <v>0.72049348468848062</v>
      </c>
      <c r="W10" s="16">
        <f t="shared" si="2"/>
        <v>13.844962324772379</v>
      </c>
      <c r="X10" s="16">
        <f t="shared" si="2"/>
        <v>9.7104770899711715E-3</v>
      </c>
      <c r="Y10" s="16">
        <f t="shared" si="2"/>
        <v>4.8645361799878545E-3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3" thickTop="1" thickBot="1" x14ac:dyDescent="0.35">
      <c r="A11" s="45"/>
      <c r="B11" s="3" t="s">
        <v>35</v>
      </c>
      <c r="C11" s="3" t="s">
        <v>86</v>
      </c>
      <c r="D11" s="3" t="s">
        <v>87</v>
      </c>
      <c r="E11" s="3" t="s">
        <v>88</v>
      </c>
      <c r="F11" s="3" t="s">
        <v>89</v>
      </c>
      <c r="G11" s="3" t="s">
        <v>90</v>
      </c>
      <c r="H11" s="3" t="s">
        <v>91</v>
      </c>
      <c r="I11" s="3" t="s">
        <v>92</v>
      </c>
      <c r="J11" s="3" t="s">
        <v>93</v>
      </c>
      <c r="K11" s="3"/>
      <c r="L11" s="3"/>
      <c r="N11" s="6" t="s">
        <v>16</v>
      </c>
      <c r="O11" s="6" t="s">
        <v>26</v>
      </c>
      <c r="P11" s="8">
        <v>6.1041506982899998</v>
      </c>
      <c r="Q11" s="8">
        <v>2.9839022836200001E-2</v>
      </c>
      <c r="R11" s="8">
        <v>1.8924016798600001</v>
      </c>
      <c r="S11" s="8">
        <v>160.38698982229226</v>
      </c>
      <c r="T11" s="8">
        <v>241.42633239521126</v>
      </c>
      <c r="U11" s="8">
        <v>815.37762364192611</v>
      </c>
      <c r="V11" s="8">
        <f>1/Q11</f>
        <v>33.51316179117044</v>
      </c>
      <c r="W11" s="8">
        <f>AVERAGE(W12:W19)*1.25</f>
        <v>104.86504007460938</v>
      </c>
      <c r="X11" s="8">
        <v>0.13582563356499999</v>
      </c>
      <c r="Y11" s="8">
        <v>0.83230862779541925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3" thickTop="1" thickBot="1" x14ac:dyDescent="0.35">
      <c r="A12" s="43" t="s">
        <v>94</v>
      </c>
      <c r="B12" s="4" t="s">
        <v>17</v>
      </c>
      <c r="C12" s="4" t="s">
        <v>95</v>
      </c>
      <c r="D12" s="4" t="s">
        <v>96</v>
      </c>
      <c r="E12" s="4" t="s">
        <v>97</v>
      </c>
      <c r="F12" s="4" t="s">
        <v>98</v>
      </c>
      <c r="G12" s="4" t="s">
        <v>99</v>
      </c>
      <c r="H12" s="4" t="s">
        <v>100</v>
      </c>
      <c r="I12" s="4" t="s">
        <v>101</v>
      </c>
      <c r="J12" s="4" t="s">
        <v>102</v>
      </c>
      <c r="K12" s="24"/>
      <c r="L12" s="24"/>
      <c r="N12" s="6" t="s">
        <v>16</v>
      </c>
      <c r="O12" s="6" t="s">
        <v>26</v>
      </c>
      <c r="P12" s="8">
        <f>AVERAGE(P11,P13:P17)</f>
        <v>5.7141054675016676</v>
      </c>
      <c r="Q12" s="8">
        <v>5.1967298189599997E-2</v>
      </c>
      <c r="R12" s="8">
        <v>1.71115045165</v>
      </c>
      <c r="S12" s="8">
        <v>115.16989537158616</v>
      </c>
      <c r="T12" s="8">
        <v>182.7528385603926</v>
      </c>
      <c r="U12" s="8">
        <v>651.44995459845063</v>
      </c>
      <c r="V12" s="8">
        <f>1/Q12</f>
        <v>19.242870705949571</v>
      </c>
      <c r="W12" s="8">
        <v>153.02281902199999</v>
      </c>
      <c r="X12" s="8">
        <v>0.22692054937</v>
      </c>
      <c r="Y12" s="8">
        <v>0.83230899999999997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3" thickTop="1" thickBot="1" x14ac:dyDescent="0.35">
      <c r="A13" s="44"/>
      <c r="B13" s="3" t="s">
        <v>26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 t="s">
        <v>109</v>
      </c>
      <c r="J13" s="3" t="s">
        <v>110</v>
      </c>
      <c r="K13" s="3"/>
      <c r="L13" s="3"/>
      <c r="N13" s="6" t="s">
        <v>16</v>
      </c>
      <c r="O13" s="6" t="s">
        <v>26</v>
      </c>
      <c r="P13" s="8">
        <v>6.2822367503100001</v>
      </c>
      <c r="Q13" s="8">
        <v>5.8699002957599999E-2</v>
      </c>
      <c r="R13" s="8">
        <v>0.49106411775300002</v>
      </c>
      <c r="S13" s="8">
        <v>64.521144574257463</v>
      </c>
      <c r="T13" s="8">
        <v>109.07979845062196</v>
      </c>
      <c r="U13" s="8">
        <v>411.07250063595757</v>
      </c>
      <c r="V13" s="8">
        <f>1/Q13</f>
        <v>17.036064491969807</v>
      </c>
      <c r="W13" s="8">
        <v>64.550690085400007</v>
      </c>
      <c r="X13" s="8">
        <v>0.30798681811799999</v>
      </c>
      <c r="Y13" s="8">
        <v>0.83230899999999997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3" thickTop="1" thickBot="1" x14ac:dyDescent="0.35">
      <c r="A14" s="45"/>
      <c r="B14" s="4" t="s">
        <v>35</v>
      </c>
      <c r="C14" s="4" t="s">
        <v>111</v>
      </c>
      <c r="D14" s="4" t="s">
        <v>112</v>
      </c>
      <c r="E14" s="4" t="s">
        <v>113</v>
      </c>
      <c r="F14" s="4" t="s">
        <v>114</v>
      </c>
      <c r="G14" s="4" t="s">
        <v>115</v>
      </c>
      <c r="H14" s="4" t="s">
        <v>116</v>
      </c>
      <c r="I14" s="4" t="s">
        <v>117</v>
      </c>
      <c r="J14" s="4" t="s">
        <v>118</v>
      </c>
      <c r="K14" s="24"/>
      <c r="L14" s="24"/>
      <c r="N14" s="6" t="s">
        <v>16</v>
      </c>
      <c r="O14" s="6" t="s">
        <v>26</v>
      </c>
      <c r="P14" s="8">
        <v>6.4947895028299998</v>
      </c>
      <c r="Q14" s="8" t="s">
        <v>15</v>
      </c>
      <c r="R14" s="8">
        <f>AVERAGE(R15:R19,R11:R13)*0.9</f>
        <v>1.078609569007275</v>
      </c>
      <c r="S14" s="8">
        <v>61.106130888954503</v>
      </c>
      <c r="T14" s="8">
        <v>105.67304870546305</v>
      </c>
      <c r="U14" s="8">
        <v>405.4177657341391</v>
      </c>
      <c r="V14" s="8" t="s">
        <v>15</v>
      </c>
      <c r="W14" s="8">
        <v>52.901572502599997</v>
      </c>
      <c r="X14" s="8">
        <v>0.34279464718699998</v>
      </c>
      <c r="Y14" s="8">
        <v>0.83230862779541925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" thickTop="1" thickBot="1" x14ac:dyDescent="0.35">
      <c r="A15" s="43" t="s">
        <v>119</v>
      </c>
      <c r="B15" s="3" t="s">
        <v>17</v>
      </c>
      <c r="C15" s="3" t="s">
        <v>120</v>
      </c>
      <c r="D15" s="3" t="s">
        <v>121</v>
      </c>
      <c r="E15" s="3" t="s">
        <v>122</v>
      </c>
      <c r="F15" s="3" t="s">
        <v>123</v>
      </c>
      <c r="G15" s="3" t="s">
        <v>124</v>
      </c>
      <c r="H15" s="3" t="s">
        <v>125</v>
      </c>
      <c r="I15" s="3" t="s">
        <v>126</v>
      </c>
      <c r="J15" s="3" t="s">
        <v>127</v>
      </c>
      <c r="K15" s="3"/>
      <c r="L15" s="3"/>
      <c r="N15" s="6" t="s">
        <v>16</v>
      </c>
      <c r="O15" s="6" t="s">
        <v>26</v>
      </c>
      <c r="P15" s="8">
        <v>7.5931835528500002</v>
      </c>
      <c r="Q15" s="7">
        <f>AVERAGE(Q16:Q19,Q11:Q14)*0.9</f>
        <v>4.1757956428770004E-2</v>
      </c>
      <c r="R15" s="8">
        <v>1.19768076963</v>
      </c>
      <c r="S15" s="8">
        <v>81.407261463503289</v>
      </c>
      <c r="T15" s="8">
        <v>131.81836620470366</v>
      </c>
      <c r="U15" s="8">
        <v>478.7769849260435</v>
      </c>
      <c r="V15" s="8">
        <f>1/Q15</f>
        <v>23.947532051904471</v>
      </c>
      <c r="W15" s="8">
        <v>92.356248505600007</v>
      </c>
      <c r="X15" s="8">
        <v>0.27412555119999998</v>
      </c>
      <c r="Y15" s="8">
        <v>0.83230862779541925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3" thickTop="1" thickBot="1" x14ac:dyDescent="0.35">
      <c r="A16" s="44"/>
      <c r="B16" s="4" t="s">
        <v>26</v>
      </c>
      <c r="C16" s="4" t="s">
        <v>128</v>
      </c>
      <c r="D16" s="4" t="s">
        <v>129</v>
      </c>
      <c r="E16" s="4" t="s">
        <v>130</v>
      </c>
      <c r="F16" s="4" t="s">
        <v>131</v>
      </c>
      <c r="G16" s="4" t="s">
        <v>132</v>
      </c>
      <c r="H16" s="4" t="s">
        <v>133</v>
      </c>
      <c r="I16" s="4" t="s">
        <v>134</v>
      </c>
      <c r="J16" s="4" t="s">
        <v>135</v>
      </c>
      <c r="K16" s="24"/>
      <c r="L16" s="24"/>
      <c r="N16" s="6" t="s">
        <v>16</v>
      </c>
      <c r="O16" s="6" t="s">
        <v>26</v>
      </c>
      <c r="P16" s="8">
        <v>4.4815115152100002</v>
      </c>
      <c r="Q16" s="8">
        <v>5.8406878064899997E-2</v>
      </c>
      <c r="R16" s="8">
        <v>0.32875457768999999</v>
      </c>
      <c r="S16" s="8">
        <v>45.99755578586619</v>
      </c>
      <c r="T16" s="8">
        <v>77.976916013982162</v>
      </c>
      <c r="U16" s="8">
        <v>294.51062385942203</v>
      </c>
      <c r="V16" s="8">
        <f>1/Q16</f>
        <v>17.121271212079328</v>
      </c>
      <c r="W16" s="8">
        <f>AVERAGE(W17:W19,W12:W15)*1.25</f>
        <v>100.670438471625</v>
      </c>
      <c r="X16" s="8" t="s">
        <v>15</v>
      </c>
      <c r="Y16" s="8">
        <v>0.83230862779541925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3" thickTop="1" thickBot="1" x14ac:dyDescent="0.35">
      <c r="A17" s="45"/>
      <c r="B17" s="3" t="s">
        <v>35</v>
      </c>
      <c r="C17" s="3" t="s">
        <v>136</v>
      </c>
      <c r="D17" s="3" t="s">
        <v>137</v>
      </c>
      <c r="E17" s="3" t="s">
        <v>138</v>
      </c>
      <c r="F17" s="3" t="s">
        <v>139</v>
      </c>
      <c r="G17" s="3" t="s">
        <v>140</v>
      </c>
      <c r="H17" s="3" t="s">
        <v>141</v>
      </c>
      <c r="I17" s="3" t="s">
        <v>142</v>
      </c>
      <c r="J17" s="3" t="s">
        <v>143</v>
      </c>
      <c r="K17" s="3"/>
      <c r="L17" s="3"/>
      <c r="N17" s="6" t="s">
        <v>16</v>
      </c>
      <c r="O17" s="6" t="s">
        <v>26</v>
      </c>
      <c r="P17" s="8">
        <v>3.3287607855200001</v>
      </c>
      <c r="Q17" s="8">
        <v>2.79488343025E-2</v>
      </c>
      <c r="R17" s="8">
        <v>1.8531742835</v>
      </c>
      <c r="S17" s="8">
        <v>124.00789463543045</v>
      </c>
      <c r="T17" s="8">
        <v>168.88545514098945</v>
      </c>
      <c r="U17" s="8">
        <v>501.07534162246947</v>
      </c>
      <c r="V17" s="8">
        <f>1/Q17</f>
        <v>35.779667558820186</v>
      </c>
      <c r="W17" s="8" t="s">
        <v>15</v>
      </c>
      <c r="X17" s="8">
        <v>0.27452554829819997</v>
      </c>
      <c r="Y17" s="8">
        <v>0.83230862779541925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3" thickTop="1" thickBot="1" x14ac:dyDescent="0.35">
      <c r="A18" s="43" t="s">
        <v>144</v>
      </c>
      <c r="B18" s="4" t="s">
        <v>17</v>
      </c>
      <c r="C18" s="4" t="s">
        <v>145</v>
      </c>
      <c r="D18" s="4" t="s">
        <v>146</v>
      </c>
      <c r="E18" s="4" t="s">
        <v>147</v>
      </c>
      <c r="F18" s="4" t="s">
        <v>148</v>
      </c>
      <c r="G18" s="4" t="s">
        <v>149</v>
      </c>
      <c r="H18" s="4" t="s">
        <v>150</v>
      </c>
      <c r="I18" s="4" t="s">
        <v>151</v>
      </c>
      <c r="J18" s="4" t="s">
        <v>152</v>
      </c>
      <c r="K18" s="24"/>
      <c r="L18" s="24"/>
      <c r="N18" s="6" t="s">
        <v>16</v>
      </c>
      <c r="O18" s="6" t="s">
        <v>26</v>
      </c>
      <c r="P18" s="8">
        <f>AVERAGE(P13:P17,P19)*0.85</f>
        <v>4.3127428794620837</v>
      </c>
      <c r="Q18" s="8">
        <v>5.4924869623399999E-2</v>
      </c>
      <c r="R18" s="8">
        <v>1.3805811056699999</v>
      </c>
      <c r="S18" s="8">
        <v>46.350653879761133</v>
      </c>
      <c r="T18" s="8">
        <v>57.588422376404935</v>
      </c>
      <c r="U18" s="8">
        <v>144.31924391860878</v>
      </c>
      <c r="V18" s="8">
        <f>1/Q18</f>
        <v>18.206688643170917</v>
      </c>
      <c r="W18" s="8">
        <v>39.850423770900001</v>
      </c>
      <c r="X18" s="8">
        <v>0.19532424449310001</v>
      </c>
      <c r="Y18" s="8">
        <v>0.83230862779541925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13" thickTop="1" thickBot="1" x14ac:dyDescent="0.35">
      <c r="A19" s="44"/>
      <c r="B19" s="3" t="s">
        <v>26</v>
      </c>
      <c r="C19" s="3" t="s">
        <v>153</v>
      </c>
      <c r="D19" s="3" t="s">
        <v>154</v>
      </c>
      <c r="E19" s="3" t="s">
        <v>155</v>
      </c>
      <c r="F19" s="3" t="s">
        <v>156</v>
      </c>
      <c r="G19" s="3" t="s">
        <v>157</v>
      </c>
      <c r="H19" s="3" t="s">
        <v>158</v>
      </c>
      <c r="I19" s="3" t="s">
        <v>159</v>
      </c>
      <c r="J19" s="3" t="s">
        <v>160</v>
      </c>
      <c r="K19" s="3"/>
      <c r="L19" s="3"/>
      <c r="N19" s="6" t="s">
        <v>16</v>
      </c>
      <c r="O19" s="6" t="s">
        <v>26</v>
      </c>
      <c r="P19" s="8">
        <v>2.2624088071299999</v>
      </c>
      <c r="Q19" s="8">
        <v>4.29981995829E-2</v>
      </c>
      <c r="R19" s="8">
        <v>0.73283362764500004</v>
      </c>
      <c r="S19" s="8">
        <v>41.897989904273324</v>
      </c>
      <c r="T19" s="8">
        <v>62.681487318366742</v>
      </c>
      <c r="U19" s="8">
        <v>210.25509613006889</v>
      </c>
      <c r="V19" s="8">
        <f>1/Q19</f>
        <v>23.256787719030243</v>
      </c>
      <c r="W19" s="8" t="s">
        <v>15</v>
      </c>
      <c r="X19" s="8">
        <v>0.26010535909900001</v>
      </c>
      <c r="Y19" s="8">
        <v>0.82308627795418998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3" thickTop="1" thickBot="1" x14ac:dyDescent="0.35">
      <c r="A20" s="45"/>
      <c r="B20" s="4" t="s">
        <v>35</v>
      </c>
      <c r="C20" s="4" t="s">
        <v>161</v>
      </c>
      <c r="D20" s="4" t="s">
        <v>162</v>
      </c>
      <c r="E20" s="4" t="s">
        <v>163</v>
      </c>
      <c r="F20" s="4" t="s">
        <v>164</v>
      </c>
      <c r="G20" s="4" t="s">
        <v>165</v>
      </c>
      <c r="H20" s="4" t="s">
        <v>166</v>
      </c>
      <c r="I20" s="4" t="s">
        <v>167</v>
      </c>
      <c r="J20" s="4" t="s">
        <v>168</v>
      </c>
      <c r="K20" s="24"/>
      <c r="L20" s="24"/>
      <c r="M20" s="9" t="s">
        <v>362</v>
      </c>
      <c r="N20" s="10" t="s">
        <v>16</v>
      </c>
      <c r="O20" s="10" t="s">
        <v>26</v>
      </c>
      <c r="P20" s="11">
        <f>AVERAGE(P16:P19,P11:P14)</f>
        <v>4.872588300781719</v>
      </c>
      <c r="Q20" s="11">
        <f t="shared" ref="Q20:Y20" si="3">AVERAGE(Q11:Q19)</f>
        <v>4.5817757748233746E-2</v>
      </c>
      <c r="R20" s="11">
        <f t="shared" si="3"/>
        <v>1.1851389091561417</v>
      </c>
      <c r="S20" s="11">
        <f t="shared" si="3"/>
        <v>82.316168480658305</v>
      </c>
      <c r="T20" s="11">
        <f t="shared" si="3"/>
        <v>126.43140724068174</v>
      </c>
      <c r="U20" s="11">
        <f t="shared" si="3"/>
        <v>434.695015007454</v>
      </c>
      <c r="V20" s="11">
        <f t="shared" si="3"/>
        <v>23.513005521761869</v>
      </c>
      <c r="W20" s="11">
        <f t="shared" si="3"/>
        <v>86.888176061819181</v>
      </c>
      <c r="X20" s="11">
        <f t="shared" si="3"/>
        <v>0.2522010439162875</v>
      </c>
      <c r="Y20" s="11">
        <f t="shared" si="3"/>
        <v>0.83128400496963417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3" thickTop="1" thickBot="1" x14ac:dyDescent="0.35">
      <c r="A21" s="43" t="s">
        <v>169</v>
      </c>
      <c r="B21" s="3" t="s">
        <v>17</v>
      </c>
      <c r="C21" s="3" t="s">
        <v>170</v>
      </c>
      <c r="D21" s="3" t="s">
        <v>171</v>
      </c>
      <c r="E21" s="3" t="s">
        <v>172</v>
      </c>
      <c r="F21" s="3" t="s">
        <v>173</v>
      </c>
      <c r="G21" s="3" t="s">
        <v>174</v>
      </c>
      <c r="H21" s="3" t="s">
        <v>175</v>
      </c>
      <c r="I21" s="3" t="s">
        <v>176</v>
      </c>
      <c r="J21" s="3" t="s">
        <v>177</v>
      </c>
      <c r="K21" s="3"/>
      <c r="L21" s="3"/>
      <c r="M21" s="9" t="s">
        <v>363</v>
      </c>
      <c r="N21" s="12" t="s">
        <v>16</v>
      </c>
      <c r="O21" s="12" t="s">
        <v>26</v>
      </c>
      <c r="P21" s="13">
        <f>_xlfn.STDEV.S(P16:P19,P11:P14)</f>
        <v>1.5355943896173438</v>
      </c>
      <c r="Q21" s="13">
        <f t="shared" ref="Q21:Y21" si="4">_xlfn.STDEV.S(Q11:Q19)</f>
        <v>1.221368700818806E-2</v>
      </c>
      <c r="R21" s="13">
        <f t="shared" si="4"/>
        <v>0.58015057191161223</v>
      </c>
      <c r="S21" s="13">
        <f t="shared" si="4"/>
        <v>41.722542252055469</v>
      </c>
      <c r="T21" s="13">
        <f t="shared" si="4"/>
        <v>61.349955479854856</v>
      </c>
      <c r="U21" s="13">
        <f t="shared" si="4"/>
        <v>210.35973053325202</v>
      </c>
      <c r="V21" s="13">
        <f t="shared" si="4"/>
        <v>7.3671536135746587</v>
      </c>
      <c r="W21" s="13">
        <f t="shared" si="4"/>
        <v>38.260971965368505</v>
      </c>
      <c r="X21" s="13">
        <f t="shared" si="4"/>
        <v>6.522281494172312E-2</v>
      </c>
      <c r="Y21" s="13">
        <f t="shared" si="4"/>
        <v>3.0741476350163205E-3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3" thickTop="1" thickBot="1" x14ac:dyDescent="0.35">
      <c r="A22" s="44"/>
      <c r="B22" s="4" t="s">
        <v>26</v>
      </c>
      <c r="C22" s="4" t="s">
        <v>178</v>
      </c>
      <c r="D22" s="4" t="s">
        <v>179</v>
      </c>
      <c r="E22" s="4" t="s">
        <v>180</v>
      </c>
      <c r="F22" s="4" t="s">
        <v>181</v>
      </c>
      <c r="G22" s="4" t="s">
        <v>182</v>
      </c>
      <c r="H22" s="4" t="s">
        <v>183</v>
      </c>
      <c r="I22" s="4" t="s">
        <v>184</v>
      </c>
      <c r="J22" s="4" t="s">
        <v>185</v>
      </c>
      <c r="K22" s="24"/>
      <c r="L22" s="24"/>
      <c r="M22" s="14" t="s">
        <v>364</v>
      </c>
      <c r="N22" s="15" t="s">
        <v>16</v>
      </c>
      <c r="O22" s="15" t="s">
        <v>26</v>
      </c>
      <c r="P22" s="16">
        <f>P21/P20</f>
        <v>0.31514962784173361</v>
      </c>
      <c r="Q22" s="16">
        <f>Q21/SQRT(COUNT(Q11:Q19))</f>
        <v>4.3181904533899059E-3</v>
      </c>
      <c r="R22" s="16">
        <f>R21/SQRT(COUNT(R15:R19))</f>
        <v>0.25945122319594899</v>
      </c>
      <c r="S22" s="16">
        <f>S21/SQRT(COUNT(S15:S19))</f>
        <v>18.658888133940639</v>
      </c>
      <c r="T22" s="16">
        <f>T21/SQRT(COUNT(T15:T19))</f>
        <v>27.436534173908235</v>
      </c>
      <c r="U22" s="16">
        <f>U21/SQRT(COUNT(U15:U19))</f>
        <v>94.075731440177918</v>
      </c>
      <c r="V22" s="16">
        <f>V21/SQRT(COUNT(V11:V19))</f>
        <v>2.6046821391008095</v>
      </c>
      <c r="W22" s="16">
        <f>W21/SQRT(COUNT(W11:W19))</f>
        <v>14.461288105711324</v>
      </c>
      <c r="X22" s="16">
        <f>X21/SQRT(COUNT(X15:X19))</f>
        <v>3.261140747086156E-2</v>
      </c>
      <c r="Y22" s="16">
        <f>Y21/SQRT(COUNT(Y15:Y19))</f>
        <v>1.3748006169533411E-3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3" thickTop="1" thickBot="1" x14ac:dyDescent="0.35">
      <c r="A23" s="45"/>
      <c r="B23" s="3" t="s">
        <v>35</v>
      </c>
      <c r="C23" s="3" t="s">
        <v>186</v>
      </c>
      <c r="D23" s="3" t="s">
        <v>187</v>
      </c>
      <c r="E23" s="3" t="s">
        <v>188</v>
      </c>
      <c r="F23" s="3" t="s">
        <v>189</v>
      </c>
      <c r="G23" s="3" t="s">
        <v>190</v>
      </c>
      <c r="H23" s="3" t="s">
        <v>191</v>
      </c>
      <c r="I23" s="3" t="s">
        <v>192</v>
      </c>
      <c r="J23" s="3" t="s">
        <v>193</v>
      </c>
      <c r="K23" s="3"/>
      <c r="L23" s="3"/>
      <c r="N23" s="6" t="s">
        <v>16</v>
      </c>
      <c r="O23" s="6" t="s">
        <v>35</v>
      </c>
      <c r="P23" s="8">
        <v>3.3287607855200001</v>
      </c>
      <c r="Q23" s="8">
        <v>2.79488343025E-2</v>
      </c>
      <c r="R23" s="8">
        <v>1.8531742835</v>
      </c>
      <c r="S23" s="8">
        <v>124.00789463543045</v>
      </c>
      <c r="T23" s="8">
        <v>168.88545514098945</v>
      </c>
      <c r="U23" s="8">
        <v>501.07534162246947</v>
      </c>
      <c r="V23" s="8">
        <f>1/Q23</f>
        <v>35.779667558820186</v>
      </c>
      <c r="W23" s="8">
        <v>31.758722231</v>
      </c>
      <c r="X23" s="8">
        <v>0.27452554829819997</v>
      </c>
      <c r="Y23" s="8">
        <v>0.83230862779541925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3" thickTop="1" thickBot="1" x14ac:dyDescent="0.35">
      <c r="A24" s="43" t="s">
        <v>194</v>
      </c>
      <c r="B24" s="4" t="s">
        <v>17</v>
      </c>
      <c r="C24" s="4" t="s">
        <v>195</v>
      </c>
      <c r="D24" s="4" t="s">
        <v>196</v>
      </c>
      <c r="E24" s="4" t="s">
        <v>197</v>
      </c>
      <c r="F24" s="4" t="s">
        <v>198</v>
      </c>
      <c r="G24" s="4" t="s">
        <v>199</v>
      </c>
      <c r="H24" s="4" t="s">
        <v>200</v>
      </c>
      <c r="I24" s="4" t="s">
        <v>201</v>
      </c>
      <c r="J24" s="4" t="s">
        <v>202</v>
      </c>
      <c r="K24" s="24"/>
      <c r="L24" s="24"/>
      <c r="N24" s="6" t="s">
        <v>16</v>
      </c>
      <c r="O24" s="6" t="s">
        <v>35</v>
      </c>
      <c r="P24" s="8">
        <v>1.7178146975599999</v>
      </c>
      <c r="Q24" s="8" t="s">
        <v>15</v>
      </c>
      <c r="R24" s="8">
        <v>1.3805811056699999</v>
      </c>
      <c r="S24" s="8">
        <v>46.350653879761133</v>
      </c>
      <c r="T24" s="8">
        <v>57.588422376404935</v>
      </c>
      <c r="U24" s="8">
        <v>144.31924391860878</v>
      </c>
      <c r="V24" s="8" t="s">
        <v>15</v>
      </c>
      <c r="W24" s="8">
        <v>39.850423770900001</v>
      </c>
      <c r="X24" s="8">
        <v>0.19532424449310001</v>
      </c>
      <c r="Y24" s="8">
        <v>0.83230862779541925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3" thickTop="1" thickBot="1" x14ac:dyDescent="0.35">
      <c r="A25" s="44"/>
      <c r="B25" s="3" t="s">
        <v>26</v>
      </c>
      <c r="C25" s="3" t="s">
        <v>203</v>
      </c>
      <c r="D25" s="3" t="s">
        <v>204</v>
      </c>
      <c r="E25" s="3" t="s">
        <v>205</v>
      </c>
      <c r="F25" s="3" t="s">
        <v>206</v>
      </c>
      <c r="G25" s="3" t="s">
        <v>207</v>
      </c>
      <c r="H25" s="3" t="s">
        <v>208</v>
      </c>
      <c r="I25" s="3" t="s">
        <v>209</v>
      </c>
      <c r="J25" s="3" t="s">
        <v>210</v>
      </c>
      <c r="K25" s="3"/>
      <c r="L25" s="3"/>
      <c r="N25" s="6" t="s">
        <v>16</v>
      </c>
      <c r="O25" s="6" t="s">
        <v>35</v>
      </c>
      <c r="P25" s="8">
        <v>2.2624088071299999</v>
      </c>
      <c r="Q25" s="8">
        <v>4.29981995829E-2</v>
      </c>
      <c r="R25" s="8">
        <v>0.73283362764500004</v>
      </c>
      <c r="S25" s="8">
        <v>41.897989904273324</v>
      </c>
      <c r="T25" s="8">
        <v>62.681487318366742</v>
      </c>
      <c r="U25" s="8">
        <v>210.25509613006889</v>
      </c>
      <c r="V25" s="8">
        <f>1/Q25</f>
        <v>23.256787719030243</v>
      </c>
      <c r="W25" s="8">
        <v>23.044890455800001</v>
      </c>
      <c r="X25" s="8">
        <v>0.26010535909900001</v>
      </c>
      <c r="Y25" s="8">
        <v>0.83230862779541925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3" thickTop="1" thickBot="1" x14ac:dyDescent="0.35">
      <c r="A26" s="45"/>
      <c r="B26" s="4" t="s">
        <v>35</v>
      </c>
      <c r="C26" s="4" t="s">
        <v>211</v>
      </c>
      <c r="D26" s="4" t="s">
        <v>212</v>
      </c>
      <c r="E26" s="4" t="s">
        <v>213</v>
      </c>
      <c r="F26" s="4" t="s">
        <v>214</v>
      </c>
      <c r="G26" s="4" t="s">
        <v>215</v>
      </c>
      <c r="H26" s="4" t="s">
        <v>216</v>
      </c>
      <c r="I26" s="4" t="s">
        <v>217</v>
      </c>
      <c r="J26" s="4" t="s">
        <v>210</v>
      </c>
      <c r="K26" s="24"/>
      <c r="L26" s="24"/>
      <c r="N26" s="6" t="s">
        <v>16</v>
      </c>
      <c r="O26" s="6" t="s">
        <v>35</v>
      </c>
      <c r="P26" s="8">
        <v>1.7923797053099999</v>
      </c>
      <c r="Q26" s="8">
        <v>2.2759298286199998E-2</v>
      </c>
      <c r="R26" s="8">
        <v>0.79311770141000004</v>
      </c>
      <c r="S26" s="8">
        <v>71.684748076650862</v>
      </c>
      <c r="T26" s="8">
        <v>102.04469658888982</v>
      </c>
      <c r="U26" s="8">
        <v>322.29595637248423</v>
      </c>
      <c r="V26" s="8">
        <f>1/Q26</f>
        <v>43.938085762791097</v>
      </c>
      <c r="W26" s="8">
        <v>21.781484248000002</v>
      </c>
      <c r="X26" s="8">
        <v>0.2785121659773</v>
      </c>
      <c r="Y26" s="8">
        <v>0.83230862779541925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3" thickTop="1" thickBot="1" x14ac:dyDescent="0.35">
      <c r="A27" s="43" t="s">
        <v>218</v>
      </c>
      <c r="B27" s="3" t="s">
        <v>17</v>
      </c>
      <c r="C27" s="3" t="s">
        <v>219</v>
      </c>
      <c r="D27" s="3" t="s">
        <v>220</v>
      </c>
      <c r="E27" s="3" t="s">
        <v>221</v>
      </c>
      <c r="F27" s="3" t="s">
        <v>222</v>
      </c>
      <c r="G27" s="3" t="s">
        <v>223</v>
      </c>
      <c r="H27" s="3" t="s">
        <v>224</v>
      </c>
      <c r="I27" s="3" t="s">
        <v>225</v>
      </c>
      <c r="J27" s="3" t="s">
        <v>226</v>
      </c>
      <c r="K27" s="3"/>
      <c r="L27" s="3"/>
      <c r="N27" s="6" t="s">
        <v>16</v>
      </c>
      <c r="O27" s="6" t="s">
        <v>35</v>
      </c>
      <c r="P27" s="8">
        <v>1.08406659818</v>
      </c>
      <c r="Q27" s="8" t="s">
        <v>15</v>
      </c>
      <c r="R27" s="8">
        <v>0.92214705765799998</v>
      </c>
      <c r="S27" s="8">
        <v>0.55163546403959551</v>
      </c>
      <c r="T27" s="8">
        <v>0.67256088196357289</v>
      </c>
      <c r="U27" s="8">
        <v>1.6130385534191511</v>
      </c>
      <c r="V27" s="8" t="s">
        <v>15</v>
      </c>
      <c r="W27" s="8" t="s">
        <v>15</v>
      </c>
      <c r="X27" s="8">
        <v>0.17036680414700001</v>
      </c>
      <c r="Y27" s="8">
        <v>0.57991238315220972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3" thickTop="1" thickBot="1" x14ac:dyDescent="0.35">
      <c r="A28" s="44"/>
      <c r="B28" s="4" t="s">
        <v>26</v>
      </c>
      <c r="C28" s="4" t="s">
        <v>227</v>
      </c>
      <c r="D28" s="4" t="s">
        <v>228</v>
      </c>
      <c r="E28" s="4" t="s">
        <v>229</v>
      </c>
      <c r="F28" s="4" t="s">
        <v>230</v>
      </c>
      <c r="G28" s="4" t="s">
        <v>231</v>
      </c>
      <c r="H28" s="4" t="s">
        <v>232</v>
      </c>
      <c r="I28" s="4" t="s">
        <v>233</v>
      </c>
      <c r="J28" s="4" t="s">
        <v>234</v>
      </c>
      <c r="K28" s="24"/>
      <c r="L28" s="24"/>
      <c r="N28" s="6" t="s">
        <v>16</v>
      </c>
      <c r="O28" s="6" t="s">
        <v>35</v>
      </c>
      <c r="P28" s="8">
        <v>1.5850421842</v>
      </c>
      <c r="Q28" s="8">
        <v>3.8827726476600002E-2</v>
      </c>
      <c r="R28" s="8">
        <v>0.69280847007299995</v>
      </c>
      <c r="S28" s="8">
        <v>36.929273531119577</v>
      </c>
      <c r="T28" s="8">
        <v>52.683756444647443</v>
      </c>
      <c r="U28" s="8">
        <v>166.86697633300102</v>
      </c>
      <c r="V28" s="8">
        <f>1/Q28</f>
        <v>25.754791504536378</v>
      </c>
      <c r="W28" s="8">
        <f>AVERAGE(W23:W27)*0.85</f>
        <v>24.742548149961248</v>
      </c>
      <c r="X28" s="8">
        <v>0.26499880628700001</v>
      </c>
      <c r="Y28" s="8">
        <v>0.83230862779541925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3" thickTop="1" thickBot="1" x14ac:dyDescent="0.35">
      <c r="A29" s="45"/>
      <c r="B29" s="3" t="s">
        <v>35</v>
      </c>
      <c r="C29" s="3" t="s">
        <v>235</v>
      </c>
      <c r="D29" s="3" t="s">
        <v>236</v>
      </c>
      <c r="E29" s="3" t="s">
        <v>237</v>
      </c>
      <c r="F29" s="3" t="s">
        <v>238</v>
      </c>
      <c r="G29" s="3" t="s">
        <v>239</v>
      </c>
      <c r="H29" s="3" t="s">
        <v>240</v>
      </c>
      <c r="I29" s="3" t="s">
        <v>241</v>
      </c>
      <c r="J29" s="3" t="s">
        <v>242</v>
      </c>
      <c r="K29" s="3"/>
      <c r="L29" s="3"/>
      <c r="N29" s="6" t="s">
        <v>16</v>
      </c>
      <c r="O29" s="6" t="s">
        <v>35</v>
      </c>
      <c r="P29" s="8">
        <v>1.60346597482</v>
      </c>
      <c r="Q29" s="8">
        <v>4.2531337152199998E-2</v>
      </c>
      <c r="R29" s="8">
        <v>0.86786805431699998</v>
      </c>
      <c r="S29" s="8">
        <v>38.524905576617577</v>
      </c>
      <c r="T29" s="8">
        <v>52.774095816211997</v>
      </c>
      <c r="U29" s="8">
        <v>157.96474984864571</v>
      </c>
      <c r="V29" s="8">
        <f>1/Q29</f>
        <v>23.512075259272056</v>
      </c>
      <c r="W29" s="8" t="s">
        <v>15</v>
      </c>
      <c r="X29" s="8" t="s">
        <v>15</v>
      </c>
      <c r="Y29" s="8">
        <v>0.83230862779541925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ht="13" thickTop="1" thickBot="1" x14ac:dyDescent="0.35">
      <c r="A30" s="43" t="s">
        <v>243</v>
      </c>
      <c r="B30" s="4" t="s">
        <v>17</v>
      </c>
      <c r="C30" s="4" t="s">
        <v>244</v>
      </c>
      <c r="D30" s="4" t="s">
        <v>245</v>
      </c>
      <c r="E30" s="4" t="s">
        <v>246</v>
      </c>
      <c r="F30" s="4" t="s">
        <v>247</v>
      </c>
      <c r="G30" s="4" t="s">
        <v>248</v>
      </c>
      <c r="H30" s="4" t="s">
        <v>249</v>
      </c>
      <c r="I30" s="4" t="s">
        <v>250</v>
      </c>
      <c r="J30" s="4" t="s">
        <v>251</v>
      </c>
      <c r="K30" s="24"/>
      <c r="L30" s="24"/>
      <c r="N30" s="6" t="s">
        <v>16</v>
      </c>
      <c r="O30" s="6" t="s">
        <v>35</v>
      </c>
      <c r="P30" s="8">
        <v>1.3648943088500001</v>
      </c>
      <c r="Q30" s="7">
        <f>AVERAGE(Q23:Q29)*0.9</f>
        <v>3.1511771244072E-2</v>
      </c>
      <c r="R30" s="8">
        <v>0.57076933448099998</v>
      </c>
      <c r="S30" s="8">
        <v>273.87763435269017</v>
      </c>
      <c r="T30" s="8">
        <v>393.72150284971838</v>
      </c>
      <c r="U30" s="8">
        <v>1259.3710251692714</v>
      </c>
      <c r="V30" s="8">
        <f>1/Q30</f>
        <v>31.734172993786256</v>
      </c>
      <c r="W30" s="8" t="s">
        <v>15</v>
      </c>
      <c r="X30" s="8" t="s">
        <v>15</v>
      </c>
      <c r="Y30" s="8">
        <v>0.83230862779541925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ht="13" thickTop="1" thickBot="1" x14ac:dyDescent="0.35">
      <c r="A31" s="44"/>
      <c r="B31" s="3" t="s">
        <v>26</v>
      </c>
      <c r="C31" s="3" t="s">
        <v>252</v>
      </c>
      <c r="D31" s="3" t="s">
        <v>253</v>
      </c>
      <c r="E31" s="3" t="s">
        <v>254</v>
      </c>
      <c r="F31" s="3" t="s">
        <v>255</v>
      </c>
      <c r="G31" s="3" t="s">
        <v>256</v>
      </c>
      <c r="H31" s="3" t="s">
        <v>257</v>
      </c>
      <c r="I31" s="3" t="s">
        <v>258</v>
      </c>
      <c r="J31" s="3" t="s">
        <v>259</v>
      </c>
      <c r="K31" s="3"/>
      <c r="L31" s="3"/>
      <c r="N31" s="6" t="s">
        <v>16</v>
      </c>
      <c r="O31" s="6" t="s">
        <v>35</v>
      </c>
      <c r="P31" s="8">
        <v>1.0093540748500001</v>
      </c>
      <c r="Q31" s="8" t="s">
        <v>15</v>
      </c>
      <c r="R31" s="8">
        <v>0.96369308502200002</v>
      </c>
      <c r="S31" s="8">
        <v>7.1208451931409997E-2</v>
      </c>
      <c r="T31" s="8">
        <v>8.233950080523661E-2</v>
      </c>
      <c r="U31" s="8">
        <v>0.17037340638478765</v>
      </c>
      <c r="V31" s="8" t="s">
        <v>15</v>
      </c>
      <c r="W31" s="8">
        <f>AVERAGE(W23:W27)*0.85</f>
        <v>24.742548149961248</v>
      </c>
      <c r="X31" s="8">
        <v>0.14272085165599999</v>
      </c>
      <c r="Y31" s="8">
        <v>0.83230862779541925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ht="13" thickTop="1" thickBot="1" x14ac:dyDescent="0.35">
      <c r="A32" s="45"/>
      <c r="B32" s="4" t="s">
        <v>35</v>
      </c>
      <c r="C32" s="4" t="s">
        <v>260</v>
      </c>
      <c r="D32" s="4" t="s">
        <v>261</v>
      </c>
      <c r="E32" s="4" t="s">
        <v>262</v>
      </c>
      <c r="F32" s="4" t="s">
        <v>263</v>
      </c>
      <c r="G32" s="4" t="s">
        <v>264</v>
      </c>
      <c r="H32" s="4" t="s">
        <v>265</v>
      </c>
      <c r="I32" s="4" t="s">
        <v>266</v>
      </c>
      <c r="J32" s="4" t="s">
        <v>267</v>
      </c>
      <c r="K32" s="24"/>
      <c r="L32" s="24"/>
      <c r="M32" s="9" t="s">
        <v>362</v>
      </c>
      <c r="N32" s="10" t="s">
        <v>16</v>
      </c>
      <c r="O32" s="10" t="s">
        <v>35</v>
      </c>
      <c r="P32" s="11">
        <f>AVERAGE(P24:P31)</f>
        <v>1.5524282938625</v>
      </c>
      <c r="Q32" s="11">
        <f t="shared" ref="Q32:Y32" si="5">AVERAGE(Q23:Q31)</f>
        <v>3.4429527840745336E-2</v>
      </c>
      <c r="R32" s="11">
        <f t="shared" si="5"/>
        <v>0.97522141330844425</v>
      </c>
      <c r="S32" s="11">
        <f t="shared" si="5"/>
        <v>70.432882652501561</v>
      </c>
      <c r="T32" s="11">
        <f t="shared" si="5"/>
        <v>99.014924101999725</v>
      </c>
      <c r="U32" s="11">
        <f t="shared" si="5"/>
        <v>307.10353348381705</v>
      </c>
      <c r="V32" s="11">
        <f t="shared" si="5"/>
        <v>30.662596799706034</v>
      </c>
      <c r="W32" s="11">
        <f t="shared" si="5"/>
        <v>27.653436167603747</v>
      </c>
      <c r="X32" s="11">
        <f t="shared" si="5"/>
        <v>0.22665053999394286</v>
      </c>
      <c r="Y32" s="11">
        <f t="shared" si="5"/>
        <v>0.80426460061284055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ht="13" thickTop="1" thickBot="1" x14ac:dyDescent="0.35">
      <c r="A33" s="43" t="s">
        <v>268</v>
      </c>
      <c r="B33" s="3" t="s">
        <v>17</v>
      </c>
      <c r="C33" s="3" t="s">
        <v>269</v>
      </c>
      <c r="D33" s="3" t="s">
        <v>270</v>
      </c>
      <c r="E33" s="3" t="s">
        <v>271</v>
      </c>
      <c r="F33" s="3" t="s">
        <v>272</v>
      </c>
      <c r="G33" s="3" t="s">
        <v>273</v>
      </c>
      <c r="H33" s="3" t="s">
        <v>274</v>
      </c>
      <c r="I33" s="3" t="s">
        <v>275</v>
      </c>
      <c r="J33" s="3" t="s">
        <v>102</v>
      </c>
      <c r="K33" s="3"/>
      <c r="L33" s="3"/>
      <c r="M33" s="9" t="s">
        <v>363</v>
      </c>
      <c r="N33" s="12" t="s">
        <v>16</v>
      </c>
      <c r="O33" s="12" t="s">
        <v>35</v>
      </c>
      <c r="P33" s="13">
        <f>_xlfn.STDEV.S(P24:P31)</f>
        <v>0.40393271419825399</v>
      </c>
      <c r="Q33" s="13">
        <f t="shared" ref="Q33:Y33" si="6">_xlfn.STDEV.S(Q23:Q31)</f>
        <v>8.3079787064517137E-3</v>
      </c>
      <c r="R33" s="13">
        <f t="shared" si="6"/>
        <v>0.4007562243492534</v>
      </c>
      <c r="S33" s="13">
        <f t="shared" si="6"/>
        <v>84.875331109320001</v>
      </c>
      <c r="T33" s="13">
        <f t="shared" si="6"/>
        <v>121.71841472047913</v>
      </c>
      <c r="U33" s="13">
        <f t="shared" si="6"/>
        <v>388.90690861172936</v>
      </c>
      <c r="V33" s="13">
        <f t="shared" si="6"/>
        <v>8.1686451160204054</v>
      </c>
      <c r="W33" s="13">
        <f t="shared" si="6"/>
        <v>6.9034039615788059</v>
      </c>
      <c r="X33" s="13">
        <f t="shared" si="6"/>
        <v>5.5923828275617413E-2</v>
      </c>
      <c r="Y33" s="13">
        <f t="shared" si="6"/>
        <v>8.4132081547736506E-2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ht="13" thickTop="1" thickBot="1" x14ac:dyDescent="0.35">
      <c r="A34" s="44"/>
      <c r="B34" s="4" t="s">
        <v>26</v>
      </c>
      <c r="C34" s="4" t="s">
        <v>276</v>
      </c>
      <c r="D34" s="4" t="s">
        <v>277</v>
      </c>
      <c r="E34" s="4" t="s">
        <v>278</v>
      </c>
      <c r="F34" s="4" t="s">
        <v>279</v>
      </c>
      <c r="G34" s="4" t="s">
        <v>280</v>
      </c>
      <c r="H34" s="4" t="s">
        <v>281</v>
      </c>
      <c r="I34" s="4" t="s">
        <v>282</v>
      </c>
      <c r="J34" s="4" t="s">
        <v>283</v>
      </c>
      <c r="K34" s="24"/>
      <c r="L34" s="24"/>
      <c r="M34" s="14" t="s">
        <v>364</v>
      </c>
      <c r="N34" s="15" t="s">
        <v>16</v>
      </c>
      <c r="O34" s="15" t="s">
        <v>35</v>
      </c>
      <c r="P34" s="16">
        <f>P33/P32</f>
        <v>0.26019412026642091</v>
      </c>
      <c r="Q34" s="16">
        <f>Q33/SQRT(COUNT(Q23:Q31))</f>
        <v>3.3917181041190885E-3</v>
      </c>
      <c r="R34" s="16">
        <f>R33/SQRT(COUNT(R27:R31))</f>
        <v>0.1792236320102174</v>
      </c>
      <c r="S34" s="16">
        <f>S33/SQRT(COUNT(S27:S31))</f>
        <v>37.957401994648428</v>
      </c>
      <c r="T34" s="16">
        <f>T33/SQRT(COUNT(T27:T31))</f>
        <v>54.434129885700479</v>
      </c>
      <c r="U34" s="16">
        <f>U33/SQRT(COUNT(U27:U31))</f>
        <v>173.92445691502505</v>
      </c>
      <c r="V34" s="16">
        <f>V33/SQRT(COUNT(V23:V31))</f>
        <v>3.3348354040213146</v>
      </c>
      <c r="W34" s="16">
        <f>W33/SQRT(COUNT(W23:W31))</f>
        <v>2.8183028656960074</v>
      </c>
      <c r="X34" s="16">
        <f>X33/SQRT(COUNT(X27:X31))</f>
        <v>3.2287637309042119E-2</v>
      </c>
      <c r="Y34" s="16">
        <f>Y33/SQRT(COUNT(Y27:Y31))</f>
        <v>3.7625010685858905E-2</v>
      </c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ht="13" thickTop="1" thickBot="1" x14ac:dyDescent="0.35">
      <c r="A35" s="45"/>
      <c r="B35" s="3" t="s">
        <v>35</v>
      </c>
      <c r="C35" s="3" t="s">
        <v>284</v>
      </c>
      <c r="D35" s="3" t="s">
        <v>179</v>
      </c>
      <c r="E35" s="3" t="s">
        <v>285</v>
      </c>
      <c r="F35" s="3" t="s">
        <v>286</v>
      </c>
      <c r="G35" s="3" t="s">
        <v>287</v>
      </c>
      <c r="H35" s="3" t="s">
        <v>288</v>
      </c>
      <c r="I35" s="3" t="s">
        <v>289</v>
      </c>
      <c r="J35" s="3" t="s">
        <v>290</v>
      </c>
      <c r="K35" s="3"/>
      <c r="L35" s="3"/>
      <c r="N35" s="6" t="s">
        <v>44</v>
      </c>
      <c r="O35" s="6" t="s">
        <v>17</v>
      </c>
      <c r="P35" s="8">
        <v>9.8578128933800002</v>
      </c>
      <c r="Q35" s="8">
        <v>4.5972921059199999E-2</v>
      </c>
      <c r="R35" s="8">
        <v>1.24921393819</v>
      </c>
      <c r="S35" s="8">
        <v>136.74925193098625</v>
      </c>
      <c r="T35" s="8">
        <v>225.07860508737383</v>
      </c>
      <c r="U35" s="8">
        <v>829.39834998700735</v>
      </c>
      <c r="V35" s="8">
        <f>1/Q35</f>
        <v>21.751935203601388</v>
      </c>
      <c r="W35" s="8">
        <v>174.238997539</v>
      </c>
      <c r="X35" s="8">
        <v>0.23751966095900001</v>
      </c>
      <c r="Y35" s="8">
        <v>0.82939389937937413</v>
      </c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ht="13" thickTop="1" thickBot="1" x14ac:dyDescent="0.35">
      <c r="A36" s="43" t="s">
        <v>291</v>
      </c>
      <c r="B36" s="4" t="s">
        <v>17</v>
      </c>
      <c r="C36" s="4" t="s">
        <v>292</v>
      </c>
      <c r="D36" s="4" t="s">
        <v>293</v>
      </c>
      <c r="E36" s="4" t="s">
        <v>294</v>
      </c>
      <c r="F36" s="4" t="s">
        <v>295</v>
      </c>
      <c r="G36" s="4" t="s">
        <v>296</v>
      </c>
      <c r="H36" s="4" t="s">
        <v>297</v>
      </c>
      <c r="I36" s="4" t="s">
        <v>298</v>
      </c>
      <c r="J36" s="4" t="s">
        <v>299</v>
      </c>
      <c r="K36" s="24"/>
      <c r="L36" s="24"/>
      <c r="N36" s="6" t="s">
        <v>44</v>
      </c>
      <c r="O36" s="6" t="s">
        <v>17</v>
      </c>
      <c r="P36" s="8">
        <v>11.2066374414</v>
      </c>
      <c r="Q36" s="8">
        <v>2.8394204081100001E-2</v>
      </c>
      <c r="R36" s="8">
        <v>0.28992597238399997</v>
      </c>
      <c r="S36" s="8">
        <f>AVERAGE(S37:S38)</f>
        <v>106.81981153386617</v>
      </c>
      <c r="T36" s="8">
        <v>389.90692219622326</v>
      </c>
      <c r="U36" s="8">
        <v>1505.0402614569255</v>
      </c>
      <c r="V36" s="8">
        <f>1/Q36</f>
        <v>35.218455046099663</v>
      </c>
      <c r="W36" s="8">
        <v>284.860032875</v>
      </c>
      <c r="X36" s="8">
        <v>0.21115847479899999</v>
      </c>
      <c r="Y36" s="8">
        <v>0.8293601003764115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13" thickTop="1" thickBot="1" x14ac:dyDescent="0.35">
      <c r="A37" s="44"/>
      <c r="B37" s="3" t="s">
        <v>26</v>
      </c>
      <c r="C37" s="3" t="s">
        <v>300</v>
      </c>
      <c r="D37" s="3" t="s">
        <v>301</v>
      </c>
      <c r="E37" s="3" t="s">
        <v>302</v>
      </c>
      <c r="F37" s="3" t="s">
        <v>303</v>
      </c>
      <c r="G37" s="3" t="s">
        <v>304</v>
      </c>
      <c r="H37" s="3" t="s">
        <v>305</v>
      </c>
      <c r="I37" s="3" t="s">
        <v>306</v>
      </c>
      <c r="J37" s="3" t="s">
        <v>307</v>
      </c>
      <c r="K37" s="3"/>
      <c r="L37" s="3"/>
      <c r="N37" s="6" t="s">
        <v>44</v>
      </c>
      <c r="O37" s="6" t="s">
        <v>17</v>
      </c>
      <c r="P37" s="8">
        <v>6.4271191299600003</v>
      </c>
      <c r="Q37" s="8">
        <v>2.7315734144100001E-2</v>
      </c>
      <c r="R37" s="8">
        <v>0.87577240770300002</v>
      </c>
      <c r="S37" s="8">
        <v>151.70528859338719</v>
      </c>
      <c r="T37" s="8">
        <v>248.42800322145223</v>
      </c>
      <c r="U37" s="8">
        <v>911.39068572997576</v>
      </c>
      <c r="V37" s="8">
        <f>1/Q37</f>
        <v>36.608937351808017</v>
      </c>
      <c r="W37" s="8">
        <v>208.17565669699999</v>
      </c>
      <c r="X37" s="8">
        <v>0.17754854351300001</v>
      </c>
      <c r="Y37" s="8">
        <v>0.8293601003764115</v>
      </c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ht="13" thickTop="1" thickBot="1" x14ac:dyDescent="0.35">
      <c r="A38" s="45"/>
      <c r="B38" s="4" t="s">
        <v>35</v>
      </c>
      <c r="C38" s="4" t="s">
        <v>308</v>
      </c>
      <c r="D38" s="4" t="s">
        <v>309</v>
      </c>
      <c r="E38" s="4" t="s">
        <v>310</v>
      </c>
      <c r="F38" s="4" t="s">
        <v>311</v>
      </c>
      <c r="G38" s="4" t="s">
        <v>312</v>
      </c>
      <c r="H38" s="4" t="s">
        <v>313</v>
      </c>
      <c r="I38" s="4" t="s">
        <v>314</v>
      </c>
      <c r="J38" s="4" t="s">
        <v>315</v>
      </c>
      <c r="K38" s="24"/>
      <c r="L38" s="24"/>
      <c r="N38" s="6" t="s">
        <v>44</v>
      </c>
      <c r="O38" s="6" t="s">
        <v>17</v>
      </c>
      <c r="P38" s="8">
        <f>AVERAGE(P35:P37)</f>
        <v>9.1638564882466671</v>
      </c>
      <c r="Q38" s="8">
        <v>3.1202090576799998E-2</v>
      </c>
      <c r="R38" s="8">
        <v>0.79142227155800005</v>
      </c>
      <c r="S38" s="8">
        <v>61.934334474345157</v>
      </c>
      <c r="T38" s="8">
        <v>92.516437189346661</v>
      </c>
      <c r="U38" s="8">
        <v>309.80308625980717</v>
      </c>
      <c r="V38" s="8">
        <f>1/Q38</f>
        <v>32.049134577653589</v>
      </c>
      <c r="W38" s="8">
        <f>AVERAGE(W35:W37)</f>
        <v>222.42489570366669</v>
      </c>
      <c r="X38" s="8">
        <v>0.129083568447</v>
      </c>
      <c r="Y38" s="8">
        <v>0.8293601003764115</v>
      </c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ht="13" thickTop="1" thickBot="1" x14ac:dyDescent="0.35">
      <c r="A39" s="43" t="s">
        <v>316</v>
      </c>
      <c r="B39" s="3" t="s">
        <v>17</v>
      </c>
      <c r="C39" s="3" t="s">
        <v>317</v>
      </c>
      <c r="D39" s="3" t="s">
        <v>318</v>
      </c>
      <c r="E39" s="3" t="s">
        <v>319</v>
      </c>
      <c r="F39" s="3" t="s">
        <v>320</v>
      </c>
      <c r="G39" s="3" t="s">
        <v>321</v>
      </c>
      <c r="H39" s="3" t="s">
        <v>322</v>
      </c>
      <c r="I39" s="3" t="s">
        <v>33</v>
      </c>
      <c r="J39" s="3" t="s">
        <v>323</v>
      </c>
      <c r="K39" s="3"/>
      <c r="L39" s="3"/>
      <c r="M39" s="9" t="s">
        <v>362</v>
      </c>
      <c r="N39" s="10" t="s">
        <v>44</v>
      </c>
      <c r="O39" s="10" t="s">
        <v>17</v>
      </c>
      <c r="P39" s="11">
        <f t="shared" ref="P39:Y39" si="7">AVERAGE(P35:P38)</f>
        <v>9.1638564882466671</v>
      </c>
      <c r="Q39" s="11">
        <f t="shared" si="7"/>
        <v>3.3221237465300001E-2</v>
      </c>
      <c r="R39" s="11">
        <f t="shared" si="7"/>
        <v>0.80158364745874999</v>
      </c>
      <c r="S39" s="11">
        <f t="shared" si="7"/>
        <v>114.3021716331462</v>
      </c>
      <c r="T39" s="11">
        <f t="shared" si="7"/>
        <v>238.98249192359899</v>
      </c>
      <c r="U39" s="11">
        <f t="shared" si="7"/>
        <v>888.90809585842896</v>
      </c>
      <c r="V39" s="11">
        <f t="shared" si="7"/>
        <v>31.407115544790667</v>
      </c>
      <c r="W39" s="11">
        <f t="shared" si="7"/>
        <v>222.42489570366669</v>
      </c>
      <c r="X39" s="11">
        <f t="shared" si="7"/>
        <v>0.18882756192949998</v>
      </c>
      <c r="Y39" s="11">
        <f t="shared" si="7"/>
        <v>0.82936855012715216</v>
      </c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ht="13" thickTop="1" thickBot="1" x14ac:dyDescent="0.35">
      <c r="A40" s="44"/>
      <c r="B40" s="4" t="s">
        <v>26</v>
      </c>
      <c r="C40" s="4" t="s">
        <v>324</v>
      </c>
      <c r="D40" s="4" t="s">
        <v>325</v>
      </c>
      <c r="E40" s="4" t="s">
        <v>326</v>
      </c>
      <c r="F40" s="4" t="s">
        <v>327</v>
      </c>
      <c r="G40" s="4" t="s">
        <v>328</v>
      </c>
      <c r="H40" s="4" t="s">
        <v>329</v>
      </c>
      <c r="I40" s="4" t="s">
        <v>330</v>
      </c>
      <c r="J40" s="4" t="s">
        <v>331</v>
      </c>
      <c r="K40" s="24"/>
      <c r="L40" s="24"/>
      <c r="M40" s="9" t="s">
        <v>363</v>
      </c>
      <c r="N40" s="12" t="s">
        <v>44</v>
      </c>
      <c r="O40" s="12" t="s">
        <v>17</v>
      </c>
      <c r="P40" s="13">
        <f t="shared" ref="P40:Y40" si="8">_xlfn.STDEV.S(P35:P38)</f>
        <v>2.0119858252510543</v>
      </c>
      <c r="Q40" s="13">
        <f t="shared" si="8"/>
        <v>8.6575132958828238E-3</v>
      </c>
      <c r="R40" s="13">
        <f t="shared" si="8"/>
        <v>0.39487284001722928</v>
      </c>
      <c r="S40" s="13">
        <f t="shared" si="8"/>
        <v>39.586364039422918</v>
      </c>
      <c r="T40" s="13">
        <f t="shared" si="8"/>
        <v>121.80999493112991</v>
      </c>
      <c r="U40" s="13">
        <f t="shared" si="8"/>
        <v>489.56726957873275</v>
      </c>
      <c r="V40" s="13">
        <f t="shared" si="8"/>
        <v>6.7136665284488934</v>
      </c>
      <c r="W40" s="13">
        <f t="shared" si="8"/>
        <v>46.27118595053836</v>
      </c>
      <c r="X40" s="13">
        <f t="shared" si="8"/>
        <v>4.6783726483898253E-2</v>
      </c>
      <c r="Y40" s="13">
        <f t="shared" si="8"/>
        <v>1.6899501481315582E-5</v>
      </c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ht="13" thickTop="1" thickBot="1" x14ac:dyDescent="0.35">
      <c r="A41" s="45"/>
      <c r="B41" s="3" t="s">
        <v>35</v>
      </c>
      <c r="C41" s="3" t="s">
        <v>332</v>
      </c>
      <c r="D41" s="3" t="s">
        <v>333</v>
      </c>
      <c r="E41" s="3" t="s">
        <v>334</v>
      </c>
      <c r="F41" s="3" t="s">
        <v>335</v>
      </c>
      <c r="G41" s="3" t="s">
        <v>336</v>
      </c>
      <c r="H41" s="3" t="s">
        <v>337</v>
      </c>
      <c r="I41" s="3" t="s">
        <v>338</v>
      </c>
      <c r="J41" s="3" t="s">
        <v>339</v>
      </c>
      <c r="K41" s="3"/>
      <c r="L41" s="3"/>
      <c r="M41" s="14" t="s">
        <v>364</v>
      </c>
      <c r="N41" s="15" t="s">
        <v>44</v>
      </c>
      <c r="O41" s="15" t="s">
        <v>17</v>
      </c>
      <c r="P41" s="16">
        <f>P40/P39</f>
        <v>0.21955667112766081</v>
      </c>
      <c r="Q41" s="16">
        <f>Q40/SQRT(COUNT(Q35:Q38))</f>
        <v>4.3287566479414119E-3</v>
      </c>
      <c r="R41" s="16">
        <f>R40/SQRT(COUNT(R34:R38))</f>
        <v>0.17659250254938477</v>
      </c>
      <c r="S41" s="16">
        <f>S40/SQRT(COUNT(S34:S38))</f>
        <v>17.703560194840559</v>
      </c>
      <c r="T41" s="16">
        <f>T40/SQRT(COUNT(T34:T38))</f>
        <v>54.475085800982257</v>
      </c>
      <c r="U41" s="16">
        <f>U40/SQRT(COUNT(U34:U38))</f>
        <v>218.94113886740223</v>
      </c>
      <c r="V41" s="16">
        <f>V40/SQRT(COUNT(V35:V38))</f>
        <v>3.3568332642244467</v>
      </c>
      <c r="W41" s="16">
        <f>W40/SQRT(COUNT(W35:W38))</f>
        <v>23.13559297526918</v>
      </c>
      <c r="X41" s="16">
        <f>X40/SQRT(COUNT(X34:X38))</f>
        <v>2.0922318531750743E-2</v>
      </c>
      <c r="Y41" s="16">
        <f>Y40/SQRT(COUNT(Y34:Y38))</f>
        <v>7.5576868196160066E-6</v>
      </c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ht="13" thickTop="1" thickBot="1" x14ac:dyDescent="0.35">
      <c r="A42" s="43" t="s">
        <v>340</v>
      </c>
      <c r="B42" s="4" t="s">
        <v>17</v>
      </c>
      <c r="C42" s="4" t="s">
        <v>341</v>
      </c>
      <c r="D42" s="4" t="s">
        <v>137</v>
      </c>
      <c r="E42" s="4" t="s">
        <v>342</v>
      </c>
      <c r="F42" s="4" t="s">
        <v>343</v>
      </c>
      <c r="G42" s="4" t="s">
        <v>344</v>
      </c>
      <c r="H42" s="4" t="s">
        <v>345</v>
      </c>
      <c r="I42" s="4" t="s">
        <v>346</v>
      </c>
      <c r="J42" s="4" t="s">
        <v>177</v>
      </c>
      <c r="K42" s="24"/>
      <c r="L42" s="24"/>
      <c r="N42" s="6" t="s">
        <v>44</v>
      </c>
      <c r="O42" s="6" t="s">
        <v>26</v>
      </c>
      <c r="P42" s="8">
        <v>3.94496421349</v>
      </c>
      <c r="Q42" s="8">
        <v>2.6047597988999999E-2</v>
      </c>
      <c r="R42" s="8">
        <v>0.87855258114300006</v>
      </c>
      <c r="S42" s="8">
        <v>107.69398159005456</v>
      </c>
      <c r="T42" s="8">
        <v>168.80559272152777</v>
      </c>
      <c r="U42" s="8">
        <v>594.63480763099631</v>
      </c>
      <c r="V42" s="8">
        <f t="shared" ref="V42:V48" si="9">1/Q42</f>
        <v>38.391255900920456</v>
      </c>
      <c r="W42" s="8" t="s">
        <v>15</v>
      </c>
      <c r="X42" s="8">
        <v>0.15168844761799999</v>
      </c>
      <c r="Y42" s="8">
        <v>0.82935999999999999</v>
      </c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ht="13" thickTop="1" thickBot="1" x14ac:dyDescent="0.35">
      <c r="A43" s="44"/>
      <c r="B43" s="3" t="s">
        <v>26</v>
      </c>
      <c r="C43" s="3" t="s">
        <v>347</v>
      </c>
      <c r="D43" s="3" t="s">
        <v>348</v>
      </c>
      <c r="E43" s="3" t="s">
        <v>349</v>
      </c>
      <c r="F43" s="3" t="s">
        <v>350</v>
      </c>
      <c r="G43" s="3" t="s">
        <v>351</v>
      </c>
      <c r="H43" s="3" t="s">
        <v>352</v>
      </c>
      <c r="I43" s="3" t="s">
        <v>353</v>
      </c>
      <c r="J43" s="3" t="s">
        <v>354</v>
      </c>
      <c r="K43" s="3"/>
      <c r="L43" s="3"/>
      <c r="N43" s="6" t="s">
        <v>44</v>
      </c>
      <c r="O43" s="6" t="s">
        <v>26</v>
      </c>
      <c r="P43" s="8">
        <v>3.80609463994</v>
      </c>
      <c r="Q43" s="8">
        <v>5.5231951727000003E-2</v>
      </c>
      <c r="R43" s="8">
        <v>1.1786214107099999</v>
      </c>
      <c r="S43" s="8">
        <v>54.006613729125753</v>
      </c>
      <c r="T43" s="8">
        <v>81.307474947238219</v>
      </c>
      <c r="U43" s="8">
        <v>274.64995852819374</v>
      </c>
      <c r="V43" s="8">
        <f t="shared" si="9"/>
        <v>18.10546194244214</v>
      </c>
      <c r="W43" s="8" t="s">
        <v>15</v>
      </c>
      <c r="X43" s="8" t="s">
        <v>15</v>
      </c>
      <c r="Y43" s="8">
        <v>0.82935999999999999</v>
      </c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ht="13" thickTop="1" thickBot="1" x14ac:dyDescent="0.35">
      <c r="A44" s="45"/>
      <c r="B44" s="4" t="s">
        <v>35</v>
      </c>
      <c r="C44" s="4" t="s">
        <v>355</v>
      </c>
      <c r="D44" s="4" t="s">
        <v>129</v>
      </c>
      <c r="E44" s="4" t="s">
        <v>356</v>
      </c>
      <c r="F44" s="4" t="s">
        <v>357</v>
      </c>
      <c r="G44" s="4" t="s">
        <v>358</v>
      </c>
      <c r="H44" s="4" t="s">
        <v>359</v>
      </c>
      <c r="I44" s="4" t="s">
        <v>360</v>
      </c>
      <c r="J44" s="4" t="s">
        <v>361</v>
      </c>
      <c r="K44" s="24"/>
      <c r="L44" s="24"/>
      <c r="N44" s="6" t="s">
        <v>44</v>
      </c>
      <c r="O44" s="6" t="s">
        <v>26</v>
      </c>
      <c r="P44" s="8">
        <v>4.2192161177900003</v>
      </c>
      <c r="Q44" s="7">
        <f>AVERAGE(Q42:Q43,Q45:Q52)*0.9</f>
        <v>4.0894074290009998E-2</v>
      </c>
      <c r="R44" s="8">
        <v>-0.63006641945099995</v>
      </c>
      <c r="S44" s="8">
        <v>142.67497597675327</v>
      </c>
      <c r="T44" s="8">
        <v>280.38997134859886</v>
      </c>
      <c r="U44" s="8">
        <v>1171.8978114344231</v>
      </c>
      <c r="V44" s="8">
        <f t="shared" si="9"/>
        <v>24.453420632736751</v>
      </c>
      <c r="W44" s="8">
        <v>155.20821144799999</v>
      </c>
      <c r="X44" s="8">
        <v>0.18680499884400001</v>
      </c>
      <c r="Y44" s="8">
        <v>0.713785</v>
      </c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ht="12.5" thickTop="1" x14ac:dyDescent="0.3">
      <c r="N45" s="6" t="s">
        <v>44</v>
      </c>
      <c r="O45" s="6" t="s">
        <v>26</v>
      </c>
      <c r="P45" s="8">
        <v>7.2932841205300001</v>
      </c>
      <c r="Q45" s="8">
        <v>5.8968754591899999E-2</v>
      </c>
      <c r="R45" s="8">
        <v>1.06220840769</v>
      </c>
      <c r="S45" s="8">
        <v>80.603991169124285</v>
      </c>
      <c r="T45" s="8">
        <v>131.34296114726502</v>
      </c>
      <c r="U45" s="8">
        <v>479.74918640755607</v>
      </c>
      <c r="V45" s="8">
        <f t="shared" si="9"/>
        <v>16.958133284662601</v>
      </c>
      <c r="W45" s="8">
        <v>80.882213527999994</v>
      </c>
      <c r="X45" s="8">
        <v>0.28730494489710001</v>
      </c>
      <c r="Y45" s="8">
        <v>0.8282257528418534</v>
      </c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ht="12" x14ac:dyDescent="0.3">
      <c r="N46" s="6" t="s">
        <v>44</v>
      </c>
      <c r="O46" s="6" t="s">
        <v>26</v>
      </c>
      <c r="P46" s="8">
        <f>AVERAGE(P42:P45,P47:P52)*1.25</f>
        <v>4.8271309937978577</v>
      </c>
      <c r="Q46" s="8">
        <v>3.6348881555699999E-2</v>
      </c>
      <c r="R46" s="8">
        <v>2.2333882219999999</v>
      </c>
      <c r="S46" s="8">
        <v>182.54502058055215</v>
      </c>
      <c r="T46" s="8">
        <v>283.02253054775628</v>
      </c>
      <c r="U46" s="8">
        <v>986.16769060551155</v>
      </c>
      <c r="V46" s="8">
        <f t="shared" si="9"/>
        <v>27.511162852910019</v>
      </c>
      <c r="W46" s="8">
        <v>47.989144887999998</v>
      </c>
      <c r="X46" s="8">
        <v>0.10675548428999999</v>
      </c>
      <c r="Y46" s="8">
        <v>0.69193920925447872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12" x14ac:dyDescent="0.3">
      <c r="N47" s="6" t="s">
        <v>44</v>
      </c>
      <c r="O47" s="6" t="s">
        <v>26</v>
      </c>
      <c r="P47" s="8">
        <v>1.3113307843699999</v>
      </c>
      <c r="Q47" s="8">
        <v>2.90068724248E-2</v>
      </c>
      <c r="R47" s="8">
        <v>0.92148765975000002</v>
      </c>
      <c r="S47" s="8">
        <v>57.009456548801758</v>
      </c>
      <c r="T47" s="8">
        <v>73.566893878363715</v>
      </c>
      <c r="U47" s="8">
        <v>199.22548842131297</v>
      </c>
      <c r="V47" s="8">
        <f t="shared" si="9"/>
        <v>34.474588826923309</v>
      </c>
      <c r="W47" s="8">
        <v>111.792494791</v>
      </c>
      <c r="X47" s="8">
        <v>6.4493555386400003E-2</v>
      </c>
      <c r="Y47" s="8" t="s">
        <v>15</v>
      </c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12" x14ac:dyDescent="0.3">
      <c r="N48" s="6" t="s">
        <v>44</v>
      </c>
      <c r="O48" s="6" t="s">
        <v>26</v>
      </c>
      <c r="P48" s="8">
        <v>1.8433242779100001</v>
      </c>
      <c r="Q48" s="8">
        <v>4.9317314079699998E-2</v>
      </c>
      <c r="R48" s="8">
        <v>0.821492227342</v>
      </c>
      <c r="S48" s="8">
        <v>34.145374656124446</v>
      </c>
      <c r="T48" s="8">
        <v>48.545095736535124</v>
      </c>
      <c r="U48" s="8">
        <v>153.06925927956436</v>
      </c>
      <c r="V48" s="8">
        <f t="shared" si="9"/>
        <v>20.276854460969524</v>
      </c>
      <c r="W48" s="8">
        <f>AVERAGE(W42:W47)*0.85</f>
        <v>84.122813739187478</v>
      </c>
      <c r="X48" s="8">
        <v>0.26557323090599999</v>
      </c>
      <c r="Y48" s="8" t="s">
        <v>15</v>
      </c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3:39" ht="12" x14ac:dyDescent="0.3">
      <c r="N49" s="6" t="s">
        <v>44</v>
      </c>
      <c r="O49" s="6" t="s">
        <v>26</v>
      </c>
      <c r="P49" s="8">
        <f>AVERAGE(P42:P45,P50:P52)</f>
        <v>4.4327991110128568</v>
      </c>
      <c r="Q49" s="8" t="s">
        <v>15</v>
      </c>
      <c r="R49" s="8">
        <v>0.72910767221899997</v>
      </c>
      <c r="S49" s="8">
        <v>2.5476135410594045E-2</v>
      </c>
      <c r="T49" s="8">
        <v>3.4297131689217247E-2</v>
      </c>
      <c r="U49" s="8">
        <v>9.9941828920245626E-2</v>
      </c>
      <c r="V49" s="8" t="s">
        <v>15</v>
      </c>
      <c r="W49" s="8">
        <f>AVERAGE(W50:W52)*1.25</f>
        <v>59.216962383875007</v>
      </c>
      <c r="X49" s="8">
        <v>0.18058581745499999</v>
      </c>
      <c r="Y49" s="8" t="s">
        <v>15</v>
      </c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3:39" ht="12" x14ac:dyDescent="0.3">
      <c r="N50" s="6" t="s">
        <v>44</v>
      </c>
      <c r="O50" s="6" t="s">
        <v>26</v>
      </c>
      <c r="P50" s="8">
        <v>3.4234689137799998</v>
      </c>
      <c r="Q50" s="8">
        <v>5.1251839344299999E-2</v>
      </c>
      <c r="R50" s="8">
        <v>0.90783229934099996</v>
      </c>
      <c r="S50" s="8">
        <v>49.811957711486514</v>
      </c>
      <c r="T50" s="8">
        <v>76.523353002825985</v>
      </c>
      <c r="U50" s="8">
        <v>264.1374799642544</v>
      </c>
      <c r="V50" s="8">
        <f>1/Q50</f>
        <v>19.511494861329606</v>
      </c>
      <c r="W50" s="8">
        <v>42.233286544800002</v>
      </c>
      <c r="X50" s="8">
        <v>0.24995016364799999</v>
      </c>
      <c r="Y50" s="8">
        <v>0.8293601003764115</v>
      </c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3:39" ht="12" x14ac:dyDescent="0.3">
      <c r="N51" s="6" t="s">
        <v>44</v>
      </c>
      <c r="O51" s="6" t="s">
        <v>26</v>
      </c>
      <c r="P51" s="8">
        <v>5.0119193017399999</v>
      </c>
      <c r="Q51" s="8">
        <v>5.39825551128E-2</v>
      </c>
      <c r="R51" s="8">
        <v>0.77475291869200003</v>
      </c>
      <c r="S51" s="8">
        <v>61.127119600577586</v>
      </c>
      <c r="T51" s="8">
        <v>99.14167408781789</v>
      </c>
      <c r="U51" s="8">
        <v>360.62217835090644</v>
      </c>
      <c r="V51" s="8">
        <f>1/Q51</f>
        <v>18.524502923406203</v>
      </c>
      <c r="W51" s="8">
        <v>57.408747078600001</v>
      </c>
      <c r="X51" s="8">
        <v>0.27910220910799999</v>
      </c>
      <c r="Y51" s="8">
        <v>0.73763866877971473</v>
      </c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3:39" ht="12" x14ac:dyDescent="0.3">
      <c r="N52" s="6" t="s">
        <v>44</v>
      </c>
      <c r="O52" s="6" t="s">
        <v>26</v>
      </c>
      <c r="P52" s="8">
        <v>3.33064646982</v>
      </c>
      <c r="Q52" s="8">
        <v>4.8784976074899997E-2</v>
      </c>
      <c r="R52" s="8">
        <v>0.75223813716300003</v>
      </c>
      <c r="S52" s="8">
        <v>48.718595183238591</v>
      </c>
      <c r="T52" s="8">
        <v>76.248168068989386</v>
      </c>
      <c r="U52" s="8">
        <v>268.18969244861131</v>
      </c>
      <c r="V52" s="8">
        <f>1/Q52</f>
        <v>20.498113978055279</v>
      </c>
      <c r="W52" s="8">
        <v>42.478676097899999</v>
      </c>
      <c r="X52" s="8">
        <v>0.25256821611000002</v>
      </c>
      <c r="Y52" s="8">
        <v>0.76135049172500369</v>
      </c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3:39" ht="12" x14ac:dyDescent="0.3">
      <c r="M53" s="9" t="s">
        <v>362</v>
      </c>
      <c r="N53" s="10" t="s">
        <v>44</v>
      </c>
      <c r="O53" s="10" t="s">
        <v>26</v>
      </c>
      <c r="P53" s="11">
        <f>AVERAGE(P48:P52,P46,P42:P44)</f>
        <v>3.8710626710311908</v>
      </c>
      <c r="Q53" s="11">
        <f t="shared" ref="Q53:Y53" si="10">AVERAGE(Q42:Q52)</f>
        <v>4.4983481719010995E-2</v>
      </c>
      <c r="R53" s="11">
        <f t="shared" si="10"/>
        <v>0.87541955605445443</v>
      </c>
      <c r="S53" s="11">
        <f t="shared" si="10"/>
        <v>74.396596625568122</v>
      </c>
      <c r="T53" s="11">
        <f t="shared" si="10"/>
        <v>119.90254660169161</v>
      </c>
      <c r="U53" s="11">
        <f t="shared" si="10"/>
        <v>432.04031771820451</v>
      </c>
      <c r="V53" s="11">
        <f t="shared" si="10"/>
        <v>23.870498966435587</v>
      </c>
      <c r="W53" s="11">
        <f t="shared" si="10"/>
        <v>75.703616722151367</v>
      </c>
      <c r="X53" s="11">
        <f t="shared" si="10"/>
        <v>0.20248270682624997</v>
      </c>
      <c r="Y53" s="11">
        <f t="shared" si="10"/>
        <v>0.77762740287218279</v>
      </c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3:39" ht="12" x14ac:dyDescent="0.3">
      <c r="M54" s="9" t="s">
        <v>363</v>
      </c>
      <c r="N54" s="12" t="s">
        <v>44</v>
      </c>
      <c r="O54" s="12" t="s">
        <v>26</v>
      </c>
      <c r="P54" s="13">
        <f>_xlfn.STDEV.S(P48:P52,P46,P42:P44)</f>
        <v>0.95303293858112459</v>
      </c>
      <c r="Q54" s="13">
        <f t="shared" ref="Q54:Y54" si="11">_xlfn.STDEV.S(Q42:Q52)</f>
        <v>1.1349142878280011E-2</v>
      </c>
      <c r="R54" s="13">
        <f t="shared" si="11"/>
        <v>0.65499570913240435</v>
      </c>
      <c r="S54" s="13">
        <f t="shared" si="11"/>
        <v>51.782620644333939</v>
      </c>
      <c r="T54" s="13">
        <f t="shared" si="11"/>
        <v>90.665352805478449</v>
      </c>
      <c r="U54" s="13">
        <f t="shared" si="11"/>
        <v>358.70184155181829</v>
      </c>
      <c r="V54" s="13">
        <f t="shared" si="11"/>
        <v>7.3769734681757306</v>
      </c>
      <c r="W54" s="13">
        <f t="shared" si="11"/>
        <v>37.616240015675316</v>
      </c>
      <c r="X54" s="13">
        <f t="shared" si="11"/>
        <v>7.6968622926682717E-2</v>
      </c>
      <c r="Y54" s="13">
        <f t="shared" si="11"/>
        <v>5.8396849037629574E-2</v>
      </c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3:39" ht="12" x14ac:dyDescent="0.3">
      <c r="M55" s="14" t="s">
        <v>364</v>
      </c>
      <c r="N55" s="15" t="s">
        <v>44</v>
      </c>
      <c r="O55" s="15" t="s">
        <v>26</v>
      </c>
      <c r="P55" s="16">
        <f>P54/P53</f>
        <v>0.24619413829517037</v>
      </c>
      <c r="Q55" s="16">
        <f>Q54/SQRT(COUNT(Q42:Q52))</f>
        <v>3.5889140986043937E-3</v>
      </c>
      <c r="R55" s="16">
        <f>R54/SQRT(COUNT(R48:R52))</f>
        <v>0.29292298611814716</v>
      </c>
      <c r="S55" s="16">
        <f>S54/SQRT(COUNT(S48:S52))</f>
        <v>23.157891962762928</v>
      </c>
      <c r="T55" s="16">
        <f>T54/SQRT(COUNT(T48:T52))</f>
        <v>40.546778415410216</v>
      </c>
      <c r="U55" s="16">
        <f>U54/SQRT(COUNT(U48:U52))</f>
        <v>160.41634027284485</v>
      </c>
      <c r="V55" s="16">
        <f>V54/SQRT(COUNT(V42:V52))</f>
        <v>2.3328038398066964</v>
      </c>
      <c r="W55" s="16">
        <f>W54/SQRT(COUNT(W42:W52))</f>
        <v>12.538746671891772</v>
      </c>
      <c r="X55" s="16">
        <f>X54/SQRT(COUNT(X48:X52))</f>
        <v>3.4421414599722269E-2</v>
      </c>
      <c r="Y55" s="16">
        <f>Y54/SQRT(COUNT(Y48:Y52))</f>
        <v>3.3715436511701377E-2</v>
      </c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3:39" ht="12" x14ac:dyDescent="0.3">
      <c r="N56" s="6" t="s">
        <v>44</v>
      </c>
      <c r="O56" s="6" t="s">
        <v>35</v>
      </c>
      <c r="P56" s="8">
        <v>3.4234689137799998</v>
      </c>
      <c r="Q56" s="8">
        <v>5.1251839344299999E-2</v>
      </c>
      <c r="R56" s="8">
        <v>0.90783229934099996</v>
      </c>
      <c r="S56" s="8">
        <v>49.811957711486514</v>
      </c>
      <c r="T56" s="8">
        <v>76.523353002825985</v>
      </c>
      <c r="U56" s="8">
        <v>264.1374799642544</v>
      </c>
      <c r="V56" s="8">
        <f t="shared" ref="V56:V64" si="12">1/Q56</f>
        <v>19.511494861329606</v>
      </c>
      <c r="W56" s="8">
        <v>42.233286544800002</v>
      </c>
      <c r="X56" s="8">
        <v>0.24995016364799999</v>
      </c>
      <c r="Y56" s="8">
        <v>0.8293601003764115</v>
      </c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3:39" ht="12" x14ac:dyDescent="0.3">
      <c r="N57" s="6" t="s">
        <v>44</v>
      </c>
      <c r="O57" s="6" t="s">
        <v>35</v>
      </c>
      <c r="P57" s="8">
        <f>AVERAGE(P62:P64,P58:P60,P56)*0.85</f>
        <v>2.2448463718733569</v>
      </c>
      <c r="Q57" s="8">
        <v>5.39825551128E-2</v>
      </c>
      <c r="R57" s="8">
        <v>0.77475291869200003</v>
      </c>
      <c r="S57" s="8">
        <v>61.127119600577586</v>
      </c>
      <c r="T57" s="8">
        <v>99.14167408781789</v>
      </c>
      <c r="U57" s="8">
        <v>360.62217835090644</v>
      </c>
      <c r="V57" s="8">
        <f t="shared" si="12"/>
        <v>18.524502923406203</v>
      </c>
      <c r="W57" s="8">
        <v>57.408747078600001</v>
      </c>
      <c r="X57" s="8">
        <v>0.27910220910799999</v>
      </c>
      <c r="Y57" s="8">
        <v>0.73763866877971473</v>
      </c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3:39" ht="12" x14ac:dyDescent="0.3">
      <c r="N58" s="6" t="s">
        <v>44</v>
      </c>
      <c r="O58" s="6" t="s">
        <v>35</v>
      </c>
      <c r="P58" s="8">
        <v>3.33064646982</v>
      </c>
      <c r="Q58" s="8">
        <v>4.8784976074899997E-2</v>
      </c>
      <c r="R58" s="8">
        <v>0.75223813716300003</v>
      </c>
      <c r="S58" s="8">
        <v>48.718595183238591</v>
      </c>
      <c r="T58" s="8">
        <v>76.248168068989386</v>
      </c>
      <c r="U58" s="8">
        <v>268.18969244861131</v>
      </c>
      <c r="V58" s="8">
        <f t="shared" si="12"/>
        <v>20.498113978055279</v>
      </c>
      <c r="W58" s="8">
        <v>42.478676097899999</v>
      </c>
      <c r="X58" s="8">
        <v>0.25256821611000002</v>
      </c>
      <c r="Y58" s="8">
        <v>0.76135049172500369</v>
      </c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3:39" ht="12" x14ac:dyDescent="0.3">
      <c r="N59" s="6" t="s">
        <v>44</v>
      </c>
      <c r="O59" s="6" t="s">
        <v>35</v>
      </c>
      <c r="P59" s="8">
        <v>2.86177074132</v>
      </c>
      <c r="Q59" s="8">
        <v>3.82037537419E-2</v>
      </c>
      <c r="R59" s="8">
        <v>1.0419481449000001</v>
      </c>
      <c r="S59" s="8">
        <v>62.393194490761651</v>
      </c>
      <c r="T59" s="8">
        <v>91.736857831164173</v>
      </c>
      <c r="U59" s="8">
        <v>301.62819105851867</v>
      </c>
      <c r="V59" s="8">
        <f t="shared" si="12"/>
        <v>26.175438328806134</v>
      </c>
      <c r="W59" s="8">
        <v>77.957737576100001</v>
      </c>
      <c r="X59" s="8">
        <v>0.16086805611300001</v>
      </c>
      <c r="Y59" s="8">
        <v>0.8293601003764115</v>
      </c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3:39" ht="12" x14ac:dyDescent="0.3">
      <c r="N60" s="6" t="s">
        <v>44</v>
      </c>
      <c r="O60" s="6" t="s">
        <v>35</v>
      </c>
      <c r="P60" s="8">
        <v>2.5053563140000001</v>
      </c>
      <c r="Q60" s="8">
        <v>5.4578103171600001E-2</v>
      </c>
      <c r="R60" s="8">
        <v>1.0353130210999999</v>
      </c>
      <c r="S60" s="8">
        <v>40.413955196256182</v>
      </c>
      <c r="T60" s="8">
        <v>58.215677413409189</v>
      </c>
      <c r="U60" s="8">
        <v>186.6860160166197</v>
      </c>
      <c r="V60" s="8">
        <f t="shared" si="12"/>
        <v>18.322366331711493</v>
      </c>
      <c r="W60" s="8">
        <v>23.216826060500001</v>
      </c>
      <c r="X60" s="8">
        <v>0.25484977262300001</v>
      </c>
      <c r="Y60" s="8">
        <v>0.74411685031938968</v>
      </c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3:39" ht="12" x14ac:dyDescent="0.3">
      <c r="N61" s="6" t="s">
        <v>44</v>
      </c>
      <c r="O61" s="6" t="s">
        <v>35</v>
      </c>
      <c r="P61" s="8">
        <f>AVERAGE(P58:P60,P62:P64,P56)</f>
        <v>2.6409957316157144</v>
      </c>
      <c r="Q61" s="8">
        <v>3.6411320756299999E-2</v>
      </c>
      <c r="R61" s="8">
        <v>1.02387877183</v>
      </c>
      <c r="S61" s="8">
        <v>96.82461571745047</v>
      </c>
      <c r="T61" s="8">
        <v>153.33542203768056</v>
      </c>
      <c r="U61" s="8">
        <v>545.5457749935706</v>
      </c>
      <c r="V61" s="8">
        <f t="shared" si="12"/>
        <v>27.463985904081134</v>
      </c>
      <c r="W61" s="8" t="s">
        <v>15</v>
      </c>
      <c r="X61" s="8">
        <v>0.19688579262</v>
      </c>
      <c r="Y61" s="8">
        <v>0.74445821162752179</v>
      </c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3:39" ht="12" x14ac:dyDescent="0.3">
      <c r="N62" s="6" t="s">
        <v>44</v>
      </c>
      <c r="O62" s="6" t="s">
        <v>35</v>
      </c>
      <c r="P62" s="8">
        <v>1.24158053273</v>
      </c>
      <c r="Q62" s="7">
        <f>AVERAGE(Q56:Q61,Q63:Q64)*0.9</f>
        <v>4.087344360681E-2</v>
      </c>
      <c r="R62" s="8">
        <v>0.65618141821499998</v>
      </c>
      <c r="S62" s="8">
        <v>457.80058622541821</v>
      </c>
      <c r="T62" s="8">
        <v>630.16997315574611</v>
      </c>
      <c r="U62" s="8">
        <v>1899.8091436794011</v>
      </c>
      <c r="V62" s="8">
        <f t="shared" si="12"/>
        <v>24.465763384648806</v>
      </c>
      <c r="W62" s="8">
        <f>AVERAGE(W56:W61,W63:W64)*0.85</f>
        <v>41.481651897261429</v>
      </c>
      <c r="X62" s="8">
        <v>0.21511780254499999</v>
      </c>
      <c r="Y62" s="8">
        <v>0.70319705190399384</v>
      </c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3:39" ht="12" x14ac:dyDescent="0.3">
      <c r="N63" s="6" t="s">
        <v>44</v>
      </c>
      <c r="O63" s="6" t="s">
        <v>35</v>
      </c>
      <c r="P63" s="8">
        <v>2.0894455388500002</v>
      </c>
      <c r="Q63" s="8">
        <v>4.19764871091E-2</v>
      </c>
      <c r="R63" s="8">
        <v>0.78036157589099997</v>
      </c>
      <c r="S63" s="8">
        <v>41.899808846916983</v>
      </c>
      <c r="T63" s="8">
        <v>61.361085648773283</v>
      </c>
      <c r="U63" s="8">
        <v>200.80267100799483</v>
      </c>
      <c r="V63" s="8">
        <f t="shared" si="12"/>
        <v>23.822860579088619</v>
      </c>
      <c r="W63" s="8">
        <v>30.610501379900001</v>
      </c>
      <c r="X63" s="8">
        <v>0.21124105287700001</v>
      </c>
      <c r="Y63" s="8">
        <v>0.60819091988263496</v>
      </c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3:39" ht="12" x14ac:dyDescent="0.3">
      <c r="N64" s="6" t="s">
        <v>44</v>
      </c>
      <c r="O64" s="6" t="s">
        <v>35</v>
      </c>
      <c r="P64" s="8">
        <v>3.03470161081</v>
      </c>
      <c r="Q64" s="8">
        <v>3.8130463416299998E-2</v>
      </c>
      <c r="R64" s="8">
        <v>1.0869836953300001</v>
      </c>
      <c r="S64" s="8">
        <v>65.852752961394984</v>
      </c>
      <c r="T64" s="8">
        <v>97.067407386209226</v>
      </c>
      <c r="U64" s="8">
        <v>320.10166513363481</v>
      </c>
      <c r="V64" s="8">
        <f t="shared" si="12"/>
        <v>26.225749975347018</v>
      </c>
      <c r="W64" s="8">
        <v>67.707829122000007</v>
      </c>
      <c r="X64" s="8">
        <v>0.17636418921800001</v>
      </c>
      <c r="Y64" s="8">
        <v>0.8293601003764115</v>
      </c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3:39" ht="12" x14ac:dyDescent="0.3">
      <c r="M65" s="9" t="s">
        <v>362</v>
      </c>
      <c r="N65" s="10" t="s">
        <v>44</v>
      </c>
      <c r="O65" s="10" t="s">
        <v>35</v>
      </c>
      <c r="P65" s="11">
        <f t="shared" ref="P65:Y65" si="13">AVERAGE(P56:P64)</f>
        <v>2.5969791360887857</v>
      </c>
      <c r="Q65" s="11">
        <f t="shared" si="13"/>
        <v>4.491032692600111E-2</v>
      </c>
      <c r="R65" s="11">
        <f t="shared" si="13"/>
        <v>0.89549888694022206</v>
      </c>
      <c r="S65" s="11">
        <f t="shared" si="13"/>
        <v>102.76028732594457</v>
      </c>
      <c r="T65" s="11">
        <f t="shared" si="13"/>
        <v>149.31106873695728</v>
      </c>
      <c r="U65" s="11">
        <f t="shared" si="13"/>
        <v>483.0580902948347</v>
      </c>
      <c r="V65" s="11">
        <f t="shared" si="13"/>
        <v>22.778919585163809</v>
      </c>
      <c r="W65" s="11">
        <f t="shared" si="13"/>
        <v>47.88690696963269</v>
      </c>
      <c r="X65" s="11">
        <f t="shared" si="13"/>
        <v>0.221883028318</v>
      </c>
      <c r="Y65" s="11">
        <f t="shared" si="13"/>
        <v>0.75411472170749905</v>
      </c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3:39" ht="12" x14ac:dyDescent="0.3">
      <c r="M66" s="9" t="s">
        <v>363</v>
      </c>
      <c r="N66" s="12" t="s">
        <v>44</v>
      </c>
      <c r="O66" s="12" t="s">
        <v>35</v>
      </c>
      <c r="P66" s="13">
        <f t="shared" ref="P66:Y66" si="14">_xlfn.STDEV.S(P56:P64)</f>
        <v>0.68118408676048203</v>
      </c>
      <c r="Q66" s="13">
        <f t="shared" si="14"/>
        <v>7.2377528414152049E-3</v>
      </c>
      <c r="R66" s="13">
        <f t="shared" si="14"/>
        <v>0.1580854197598856</v>
      </c>
      <c r="S66" s="13">
        <f t="shared" si="14"/>
        <v>134.2241260174026</v>
      </c>
      <c r="T66" s="13">
        <f t="shared" si="14"/>
        <v>182.50768761615109</v>
      </c>
      <c r="U66" s="13">
        <f t="shared" si="14"/>
        <v>541.65828775233422</v>
      </c>
      <c r="V66" s="13">
        <f t="shared" si="14"/>
        <v>3.5906327281196688</v>
      </c>
      <c r="W66" s="13">
        <f t="shared" si="14"/>
        <v>18.505273407367937</v>
      </c>
      <c r="X66" s="13">
        <f t="shared" si="14"/>
        <v>3.9794564603079313E-2</v>
      </c>
      <c r="Y66" s="13">
        <f t="shared" si="14"/>
        <v>7.1927905204941425E-2</v>
      </c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3:39" ht="12" x14ac:dyDescent="0.3">
      <c r="M67" s="14" t="s">
        <v>364</v>
      </c>
      <c r="N67" s="15" t="s">
        <v>44</v>
      </c>
      <c r="O67" s="15" t="s">
        <v>35</v>
      </c>
      <c r="P67" s="16">
        <f>P66/P65</f>
        <v>0.26229863663301822</v>
      </c>
      <c r="Q67" s="16">
        <f>Q66/SQRT(COUNT(Q56:Q64))</f>
        <v>2.412584280471735E-3</v>
      </c>
      <c r="R67" s="16">
        <f>R66/SQRT(COUNT(R60:R64))</f>
        <v>7.069794896693854E-2</v>
      </c>
      <c r="S67" s="16">
        <f>S66/SQRT(COUNT(S60:S64))</f>
        <v>60.026853999082064</v>
      </c>
      <c r="T67" s="16">
        <f>T66/SQRT(COUNT(T60:T64))</f>
        <v>81.619919185202065</v>
      </c>
      <c r="U67" s="16">
        <f>U66/SQRT(COUNT(U60:U64))</f>
        <v>242.2369503980722</v>
      </c>
      <c r="V67" s="16">
        <f>V66/SQRT(COUNT(V56:V64))</f>
        <v>1.1968775760398895</v>
      </c>
      <c r="W67" s="16">
        <f>W66/SQRT(COUNT(W56:W64))</f>
        <v>6.542602157030478</v>
      </c>
      <c r="X67" s="16">
        <f>X66/SQRT(COUNT(X60:X64))</f>
        <v>1.7796670317498455E-2</v>
      </c>
      <c r="Y67" s="16">
        <f>Y66/SQRT(COUNT(Y60:Y64))</f>
        <v>3.2167137103481992E-2</v>
      </c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3:39" ht="12" x14ac:dyDescent="0.3">
      <c r="N68" s="6" t="s">
        <v>69</v>
      </c>
      <c r="O68" s="6" t="s">
        <v>17</v>
      </c>
      <c r="P68" s="8">
        <v>12.750787542599999</v>
      </c>
      <c r="Q68" s="8">
        <v>4.5599277177700001E-2</v>
      </c>
      <c r="R68" s="8">
        <v>0.25348681016899999</v>
      </c>
      <c r="S68" s="8">
        <v>157.3317607643219</v>
      </c>
      <c r="T68" s="8">
        <v>275.26848997189057</v>
      </c>
      <c r="U68" s="8">
        <v>1065.447618979709</v>
      </c>
      <c r="V68" s="8">
        <f>1/Q68</f>
        <v>21.930172184594252</v>
      </c>
      <c r="W68" s="8">
        <v>203.67606804299999</v>
      </c>
      <c r="X68" s="8">
        <v>0.26525655012999999</v>
      </c>
      <c r="Y68" s="8">
        <v>0.83642899999999998</v>
      </c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3:39" ht="12" x14ac:dyDescent="0.3">
      <c r="N69" s="6" t="s">
        <v>69</v>
      </c>
      <c r="O69" s="6" t="s">
        <v>17</v>
      </c>
      <c r="P69" s="8">
        <v>9.0199444182599997</v>
      </c>
      <c r="Q69" s="8">
        <v>4.2278818289700003E-2</v>
      </c>
      <c r="R69" s="8">
        <v>1.29139123345</v>
      </c>
      <c r="S69" s="8">
        <v>138.64696444170866</v>
      </c>
      <c r="T69" s="8">
        <v>226.21676216902583</v>
      </c>
      <c r="U69" s="8">
        <v>827.2414608813491</v>
      </c>
      <c r="V69" s="8">
        <f>1/Q69</f>
        <v>23.652505922655383</v>
      </c>
      <c r="W69" s="8">
        <v>143.679987375</v>
      </c>
      <c r="X69" s="8">
        <v>0.24859073780099999</v>
      </c>
      <c r="Y69" s="8">
        <v>0.83616299999999999</v>
      </c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3:39" ht="12" x14ac:dyDescent="0.3">
      <c r="N70" s="6" t="s">
        <v>69</v>
      </c>
      <c r="O70" s="6" t="s">
        <v>17</v>
      </c>
      <c r="P70" s="8">
        <v>12.7057282068</v>
      </c>
      <c r="Q70" s="8">
        <v>3.6270683730000003E-2</v>
      </c>
      <c r="R70" s="8">
        <v>-6.3403675712300003E-2</v>
      </c>
      <c r="S70" s="8">
        <v>191.26012469913201</v>
      </c>
      <c r="T70" s="8">
        <v>339.83228371982716</v>
      </c>
      <c r="U70" s="8">
        <v>1330.3494541555247</v>
      </c>
      <c r="V70" s="8">
        <f>1/Q70</f>
        <v>27.570475578680245</v>
      </c>
      <c r="W70" s="8">
        <v>249.19264734500001</v>
      </c>
      <c r="X70" s="8">
        <v>0.24439193641199999</v>
      </c>
      <c r="Y70" s="8">
        <v>0.83616299999999999</v>
      </c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3:39" ht="12" x14ac:dyDescent="0.3">
      <c r="N71" s="6" t="s">
        <v>69</v>
      </c>
      <c r="O71" s="6" t="s">
        <v>17</v>
      </c>
      <c r="P71" s="8">
        <f>AVERAGE(P68:P70)*0.8</f>
        <v>9.1937227113759992</v>
      </c>
      <c r="Q71" s="8">
        <v>5.0970188413699997E-2</v>
      </c>
      <c r="R71" s="8">
        <v>1.5992122468700001</v>
      </c>
      <c r="S71" s="8">
        <v>87.795771511911497</v>
      </c>
      <c r="T71" s="8">
        <v>134.75843936632165</v>
      </c>
      <c r="U71" s="8">
        <v>464.72791500452092</v>
      </c>
      <c r="V71" s="8">
        <f>1/Q71</f>
        <v>19.619311427367915</v>
      </c>
      <c r="W71" s="8">
        <f>AVERAGE(W68:W70)*0.9</f>
        <v>178.96461082889999</v>
      </c>
      <c r="X71" s="8">
        <v>0.21078371791200001</v>
      </c>
      <c r="Y71" s="8">
        <v>0.83616299999999999</v>
      </c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3:39" ht="12" x14ac:dyDescent="0.3">
      <c r="M72" s="9" t="s">
        <v>362</v>
      </c>
      <c r="N72" s="10" t="s">
        <v>69</v>
      </c>
      <c r="O72" s="10" t="s">
        <v>17</v>
      </c>
      <c r="P72" s="11">
        <f t="shared" ref="P72:Y72" si="15">AVERAGE(P68:P71)</f>
        <v>10.917545719758998</v>
      </c>
      <c r="Q72" s="11">
        <f t="shared" si="15"/>
        <v>4.3779741902774998E-2</v>
      </c>
      <c r="R72" s="11">
        <f t="shared" si="15"/>
        <v>0.77017165369417495</v>
      </c>
      <c r="S72" s="11">
        <f t="shared" si="15"/>
        <v>143.75865535426851</v>
      </c>
      <c r="T72" s="11">
        <f t="shared" si="15"/>
        <v>244.0189938067663</v>
      </c>
      <c r="U72" s="11">
        <f t="shared" si="15"/>
        <v>921.94161225527591</v>
      </c>
      <c r="V72" s="11">
        <f t="shared" si="15"/>
        <v>23.19311627832445</v>
      </c>
      <c r="W72" s="11">
        <f t="shared" si="15"/>
        <v>193.878328397975</v>
      </c>
      <c r="X72" s="11">
        <f t="shared" si="15"/>
        <v>0.24225573556374999</v>
      </c>
      <c r="Y72" s="11">
        <f t="shared" si="15"/>
        <v>0.83622949999999996</v>
      </c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3:39" ht="12" x14ac:dyDescent="0.3">
      <c r="M73" s="9" t="s">
        <v>363</v>
      </c>
      <c r="N73" s="12" t="s">
        <v>69</v>
      </c>
      <c r="O73" s="12" t="s">
        <v>17</v>
      </c>
      <c r="P73" s="13">
        <f t="shared" ref="P73:Y73" si="16">_xlfn.STDEV.S(P68:P71)</f>
        <v>2.0921144528646094</v>
      </c>
      <c r="Q73" s="13">
        <f t="shared" si="16"/>
        <v>6.1549967770794418E-3</v>
      </c>
      <c r="R73" s="13">
        <f t="shared" si="16"/>
        <v>0.80016440243613085</v>
      </c>
      <c r="S73" s="13">
        <f t="shared" si="16"/>
        <v>43.199508223790879</v>
      </c>
      <c r="T73" s="13">
        <f t="shared" si="16"/>
        <v>86.432065312312403</v>
      </c>
      <c r="U73" s="13">
        <f t="shared" si="16"/>
        <v>367.60641221990022</v>
      </c>
      <c r="V73" s="13">
        <f t="shared" si="16"/>
        <v>3.3535763092723285</v>
      </c>
      <c r="W73" s="13">
        <f t="shared" si="16"/>
        <v>44.339455702244507</v>
      </c>
      <c r="X73" s="13">
        <f t="shared" si="16"/>
        <v>2.2834337981740768E-2</v>
      </c>
      <c r="Y73" s="13">
        <f t="shared" si="16"/>
        <v>1.3299999999999423E-4</v>
      </c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3:39" ht="12" x14ac:dyDescent="0.3">
      <c r="M74" s="14" t="s">
        <v>364</v>
      </c>
      <c r="N74" s="15" t="s">
        <v>69</v>
      </c>
      <c r="O74" s="15" t="s">
        <v>17</v>
      </c>
      <c r="P74" s="16">
        <f>P73/P72</f>
        <v>0.19162864132349997</v>
      </c>
      <c r="Q74" s="16">
        <f>Q73/SQRT(COUNT(Q68:Q71))</f>
        <v>3.0774983885397209E-3</v>
      </c>
      <c r="R74" s="16">
        <f>R73/SQRT(COUNT(R67:R71))</f>
        <v>0.35784439940453738</v>
      </c>
      <c r="S74" s="16">
        <f>S73/SQRT(COUNT(S67:S71))</f>
        <v>19.319407396591519</v>
      </c>
      <c r="T74" s="16">
        <f>T73/SQRT(COUNT(T67:T71))</f>
        <v>38.653594694806422</v>
      </c>
      <c r="U74" s="16">
        <f>U73/SQRT(COUNT(U67:U71))</f>
        <v>164.39858533770123</v>
      </c>
      <c r="V74" s="16">
        <f>V73/SQRT(COUNT(V68:V71))</f>
        <v>1.6767881546361643</v>
      </c>
      <c r="W74" s="16">
        <f>W73/SQRT(COUNT(W68:W71))</f>
        <v>22.169727851122254</v>
      </c>
      <c r="X74" s="16">
        <f>X73/SQRT(COUNT(X67:X71))</f>
        <v>1.0211826389675542E-2</v>
      </c>
      <c r="Y74" s="16">
        <f>Y73/SQRT(COUNT(Y67:Y71))</f>
        <v>5.9479408201491825E-5</v>
      </c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3:39" ht="12" x14ac:dyDescent="0.3">
      <c r="N75" s="6" t="s">
        <v>69</v>
      </c>
      <c r="O75" s="6" t="s">
        <v>26</v>
      </c>
      <c r="P75" s="8">
        <v>8.0480024423500005</v>
      </c>
      <c r="Q75" s="8">
        <v>3.2110136693299998E-2</v>
      </c>
      <c r="R75" s="8">
        <v>9.7040736907199998E-2</v>
      </c>
      <c r="S75" s="8">
        <v>139.69960759981885</v>
      </c>
      <c r="T75" s="8">
        <v>245.59489341412834</v>
      </c>
      <c r="U75" s="8">
        <v>953.99369067472549</v>
      </c>
      <c r="V75" s="8">
        <f t="shared" ref="V75:V84" si="17">1/Q75</f>
        <v>31.142813546746964</v>
      </c>
      <c r="W75" s="8">
        <f>AVERAGE(W77:W82,W76)*1.25</f>
        <v>108.69597584584376</v>
      </c>
      <c r="X75" s="8">
        <v>0.226784408529</v>
      </c>
      <c r="Y75" s="8">
        <v>0.83621900000000005</v>
      </c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3:39" ht="12" x14ac:dyDescent="0.3">
      <c r="N76" s="6" t="s">
        <v>69</v>
      </c>
      <c r="O76" s="6" t="s">
        <v>26</v>
      </c>
      <c r="P76" s="8">
        <v>7.1099012020099996</v>
      </c>
      <c r="Q76" s="8">
        <v>6.1693732334499998E-2</v>
      </c>
      <c r="R76" s="8">
        <v>0.21355622181799999</v>
      </c>
      <c r="S76" s="8">
        <v>65.636208871327938</v>
      </c>
      <c r="T76" s="8">
        <v>114.13234620570103</v>
      </c>
      <c r="U76" s="8">
        <v>439.7127847049457</v>
      </c>
      <c r="V76" s="8">
        <f t="shared" si="17"/>
        <v>16.209101997234587</v>
      </c>
      <c r="W76" s="8">
        <v>67.460832194000005</v>
      </c>
      <c r="X76" s="8">
        <v>0.32876636454300001</v>
      </c>
      <c r="Y76" s="8">
        <v>0.83616299999999999</v>
      </c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3:39" ht="12" x14ac:dyDescent="0.3">
      <c r="N77" s="6" t="s">
        <v>69</v>
      </c>
      <c r="O77" s="6" t="s">
        <v>26</v>
      </c>
      <c r="P77" s="8">
        <v>5.1283192850999999</v>
      </c>
      <c r="Q77" s="8">
        <v>4.9054603957400002E-2</v>
      </c>
      <c r="R77" s="8">
        <v>0.39263688057899998</v>
      </c>
      <c r="S77" s="8">
        <v>62.906969922230424</v>
      </c>
      <c r="T77" s="8">
        <v>106.44787429393648</v>
      </c>
      <c r="U77" s="8">
        <v>401.45026903499382</v>
      </c>
      <c r="V77" s="8">
        <f t="shared" si="17"/>
        <v>20.385446407200025</v>
      </c>
      <c r="W77" s="8" t="s">
        <v>15</v>
      </c>
      <c r="X77" s="8">
        <v>0.35014088135400001</v>
      </c>
      <c r="Y77" s="8">
        <v>0.83616299999999999</v>
      </c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3:39" ht="12" x14ac:dyDescent="0.3">
      <c r="N78" s="6" t="s">
        <v>69</v>
      </c>
      <c r="O78" s="6" t="s">
        <v>26</v>
      </c>
      <c r="P78" s="8">
        <v>3.4913276364299999</v>
      </c>
      <c r="Q78" s="8">
        <v>5.0638712210300002E-2</v>
      </c>
      <c r="R78" s="8">
        <v>0.35945456150999999</v>
      </c>
      <c r="S78" s="8">
        <v>42.78109492364473</v>
      </c>
      <c r="T78" s="8">
        <v>71.330034557250997</v>
      </c>
      <c r="U78" s="8">
        <v>265.75527870531096</v>
      </c>
      <c r="V78" s="8">
        <f t="shared" si="17"/>
        <v>19.747737577666879</v>
      </c>
      <c r="W78" s="8" t="s">
        <v>15</v>
      </c>
      <c r="X78" s="8">
        <v>0.32245555282999999</v>
      </c>
      <c r="Y78" s="8">
        <v>0.83616299999999999</v>
      </c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3:39" ht="12" x14ac:dyDescent="0.3">
      <c r="N79" s="6" t="s">
        <v>69</v>
      </c>
      <c r="O79" s="6" t="s">
        <v>26</v>
      </c>
      <c r="P79" s="8">
        <f>AVERAGE(P80:P82,P75:P78)*0.8</f>
        <v>5.2585763003679995</v>
      </c>
      <c r="Q79" s="8">
        <v>5.0366238789500001E-2</v>
      </c>
      <c r="R79" s="8">
        <v>0.74138158955099998</v>
      </c>
      <c r="S79" s="8">
        <v>166.32110432918338</v>
      </c>
      <c r="T79" s="8">
        <v>285.50606303447773</v>
      </c>
      <c r="U79" s="8">
        <v>1089.091877034806</v>
      </c>
      <c r="V79" s="8">
        <f t="shared" si="17"/>
        <v>19.85456972833304</v>
      </c>
      <c r="W79" s="8" t="s">
        <v>15</v>
      </c>
      <c r="X79" s="8" t="s">
        <v>15</v>
      </c>
      <c r="Y79" s="8">
        <v>0.75442483973378716</v>
      </c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3:39" ht="12" x14ac:dyDescent="0.3">
      <c r="N80" s="6" t="s">
        <v>69</v>
      </c>
      <c r="O80" s="6" t="s">
        <v>26</v>
      </c>
      <c r="P80" s="8">
        <v>7.6948043460599997</v>
      </c>
      <c r="Q80" s="8">
        <v>4.44252049085E-2</v>
      </c>
      <c r="R80" s="8">
        <v>0.25583589062500001</v>
      </c>
      <c r="S80" s="8">
        <v>99.027137220572683</v>
      </c>
      <c r="T80" s="8">
        <v>171.86240266076845</v>
      </c>
      <c r="U80" s="8">
        <v>661.15533503347342</v>
      </c>
      <c r="V80" s="8">
        <f t="shared" si="17"/>
        <v>22.509744233248707</v>
      </c>
      <c r="W80" s="8">
        <v>104.56753857299999</v>
      </c>
      <c r="X80" s="8">
        <v>0.276705532995</v>
      </c>
      <c r="Y80" s="8">
        <v>0.83615257048092873</v>
      </c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3:39" ht="12" x14ac:dyDescent="0.3">
      <c r="N81" s="6" t="s">
        <v>69</v>
      </c>
      <c r="O81" s="6" t="s">
        <v>26</v>
      </c>
      <c r="P81" s="8">
        <v>8.6161585074799998</v>
      </c>
      <c r="Q81" s="8">
        <v>4.7993399390800003E-2</v>
      </c>
      <c r="R81" s="8">
        <v>0.120614280358</v>
      </c>
      <c r="S81" s="8">
        <v>100.29916038140608</v>
      </c>
      <c r="T81" s="8">
        <v>176.11744911435522</v>
      </c>
      <c r="U81" s="8">
        <v>683.50855392143592</v>
      </c>
      <c r="V81" s="8">
        <f t="shared" si="17"/>
        <v>20.836198575083493</v>
      </c>
      <c r="W81" s="8">
        <v>86.927310617200007</v>
      </c>
      <c r="X81" s="8">
        <v>0.33008850867700001</v>
      </c>
      <c r="Y81" s="8">
        <v>0.76282058516858675</v>
      </c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3:39" ht="12" x14ac:dyDescent="0.3">
      <c r="N82" s="6" t="s">
        <v>69</v>
      </c>
      <c r="O82" s="6" t="s">
        <v>26</v>
      </c>
      <c r="P82" s="8">
        <v>5.9240292087900004</v>
      </c>
      <c r="Q82" s="8">
        <v>4.9905234220899999E-2</v>
      </c>
      <c r="R82" s="8">
        <v>1.9250052449999999</v>
      </c>
      <c r="S82" s="8">
        <v>94.633309895915929</v>
      </c>
      <c r="T82" s="8">
        <v>141.51203325227684</v>
      </c>
      <c r="U82" s="8">
        <v>474.43834424484703</v>
      </c>
      <c r="V82" s="8">
        <f t="shared" si="17"/>
        <v>20.037978292489534</v>
      </c>
      <c r="W82" s="8">
        <v>88.871441322500004</v>
      </c>
      <c r="X82" s="8">
        <v>0.21316372302600001</v>
      </c>
      <c r="Y82" s="8">
        <v>0.76279434395052403</v>
      </c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3:39" ht="12" x14ac:dyDescent="0.3">
      <c r="N83" s="6" t="s">
        <v>69</v>
      </c>
      <c r="O83" s="6" t="s">
        <v>26</v>
      </c>
      <c r="P83" s="8">
        <v>9.20344155029</v>
      </c>
      <c r="Q83" s="8">
        <v>7.6281911684500006E-2</v>
      </c>
      <c r="R83" s="8">
        <v>1.7386219735599999</v>
      </c>
      <c r="S83" s="8">
        <v>82.588526032668142</v>
      </c>
      <c r="T83" s="8">
        <v>131.62448357487784</v>
      </c>
      <c r="U83" s="8">
        <v>471.13207243443605</v>
      </c>
      <c r="V83" s="8">
        <f t="shared" si="17"/>
        <v>13.109267687679012</v>
      </c>
      <c r="W83" s="8">
        <f>AVERAGE(W75:W82,W84)*0.85</f>
        <v>75.264160058654539</v>
      </c>
      <c r="X83" s="8">
        <v>0.35008013689700002</v>
      </c>
      <c r="Y83" s="8">
        <v>0.83615257048092873</v>
      </c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3:39" ht="12" x14ac:dyDescent="0.3">
      <c r="N84" s="6" t="s">
        <v>69</v>
      </c>
      <c r="O84" s="6" t="s">
        <v>26</v>
      </c>
      <c r="P84" s="8">
        <v>8.6846480534099992</v>
      </c>
      <c r="Q84" s="8">
        <v>4.9116375694700003E-2</v>
      </c>
      <c r="R84" s="8">
        <v>9.0433287922999997E-2</v>
      </c>
      <c r="S84" s="8">
        <v>98.358852779229181</v>
      </c>
      <c r="T84" s="8">
        <v>173.09259297600855</v>
      </c>
      <c r="U84" s="8">
        <v>672.86898785914286</v>
      </c>
      <c r="V84" s="8">
        <f t="shared" si="17"/>
        <v>20.359808431628782</v>
      </c>
      <c r="W84" s="8">
        <v>74.753325390900002</v>
      </c>
      <c r="X84" s="8">
        <v>0.35141287859499998</v>
      </c>
      <c r="Y84" s="8">
        <v>0.75940324263966452</v>
      </c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3:39" ht="12" x14ac:dyDescent="0.3">
      <c r="M85" s="9" t="s">
        <v>362</v>
      </c>
      <c r="N85" s="10" t="s">
        <v>69</v>
      </c>
      <c r="O85" s="10" t="s">
        <v>26</v>
      </c>
      <c r="P85" s="11">
        <f t="shared" ref="P85:Y85" si="18">AVERAGE(P75:P84)</f>
        <v>6.9159208532288003</v>
      </c>
      <c r="Q85" s="11">
        <f t="shared" si="18"/>
        <v>5.1158554988439998E-2</v>
      </c>
      <c r="R85" s="11">
        <f t="shared" si="18"/>
        <v>0.59345806678311996</v>
      </c>
      <c r="S85" s="11">
        <f t="shared" si="18"/>
        <v>95.225197195599733</v>
      </c>
      <c r="T85" s="11">
        <f t="shared" si="18"/>
        <v>161.72201730837813</v>
      </c>
      <c r="U85" s="11">
        <f t="shared" si="18"/>
        <v>611.3107193648118</v>
      </c>
      <c r="V85" s="11">
        <f t="shared" si="18"/>
        <v>20.419266647731103</v>
      </c>
      <c r="W85" s="11">
        <f t="shared" si="18"/>
        <v>86.648654857442622</v>
      </c>
      <c r="X85" s="11">
        <f t="shared" si="18"/>
        <v>0.30551088749400007</v>
      </c>
      <c r="Y85" s="11">
        <f t="shared" si="18"/>
        <v>0.80564561524544198</v>
      </c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3:39" ht="12" x14ac:dyDescent="0.3">
      <c r="M86" s="9" t="s">
        <v>363</v>
      </c>
      <c r="N86" s="12" t="s">
        <v>69</v>
      </c>
      <c r="O86" s="12" t="s">
        <v>26</v>
      </c>
      <c r="P86" s="13">
        <f t="shared" ref="P86:Y86" si="19">_xlfn.STDEV.S(P75:P84)</f>
        <v>1.8806573789428254</v>
      </c>
      <c r="Q86" s="13">
        <f t="shared" si="19"/>
        <v>1.1408755832554197E-2</v>
      </c>
      <c r="R86" s="13">
        <f t="shared" si="19"/>
        <v>0.6817254175700328</v>
      </c>
      <c r="S86" s="13">
        <f t="shared" si="19"/>
        <v>36.382255344459708</v>
      </c>
      <c r="T86" s="13">
        <f t="shared" si="19"/>
        <v>64.637036515254906</v>
      </c>
      <c r="U86" s="13">
        <f t="shared" si="19"/>
        <v>255.70660474324691</v>
      </c>
      <c r="V86" s="13">
        <f t="shared" si="19"/>
        <v>4.6142274162991059</v>
      </c>
      <c r="W86" s="13">
        <f t="shared" si="19"/>
        <v>15.553495365907775</v>
      </c>
      <c r="X86" s="13">
        <f t="shared" si="19"/>
        <v>5.3703876971065309E-2</v>
      </c>
      <c r="Y86" s="13">
        <f t="shared" si="19"/>
        <v>3.9471723111480596E-2</v>
      </c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3:39" ht="12" x14ac:dyDescent="0.3">
      <c r="M87" s="14" t="s">
        <v>364</v>
      </c>
      <c r="N87" s="15" t="s">
        <v>69</v>
      </c>
      <c r="O87" s="15" t="s">
        <v>26</v>
      </c>
      <c r="P87" s="16">
        <f>P86/P85</f>
        <v>0.27193159361631686</v>
      </c>
      <c r="Q87" s="16">
        <f>Q86/SQRT(COUNT(Q75:Q84))</f>
        <v>3.6077653699601833E-3</v>
      </c>
      <c r="R87" s="16">
        <f>R86/SQRT(COUNT(R80:R84))</f>
        <v>0.30487687513520456</v>
      </c>
      <c r="S87" s="16">
        <f>S86/SQRT(COUNT(S80:S84))</f>
        <v>16.270639224993385</v>
      </c>
      <c r="T87" s="16">
        <f>T86/SQRT(COUNT(T80:T84))</f>
        <v>28.906561502449218</v>
      </c>
      <c r="U87" s="16">
        <f>U86/SQRT(COUNT(U80:U84))</f>
        <v>114.35547010031405</v>
      </c>
      <c r="V87" s="16">
        <f>V86/SQRT(COUNT(V75:V84))</f>
        <v>1.4591468277499122</v>
      </c>
      <c r="W87" s="16">
        <f>W86/SQRT(COUNT(W75:W84))</f>
        <v>5.8786686794267897</v>
      </c>
      <c r="X87" s="16">
        <f>X86/SQRT(COUNT(X80:X84))</f>
        <v>2.4017103912517507E-2</v>
      </c>
      <c r="Y87" s="16">
        <f>Y86/SQRT(COUNT(Y80:Y84))</f>
        <v>1.7652291213264025E-2</v>
      </c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3:39" ht="12" x14ac:dyDescent="0.3">
      <c r="N88" s="6" t="s">
        <v>69</v>
      </c>
      <c r="O88" s="6" t="s">
        <v>35</v>
      </c>
      <c r="P88" s="8">
        <v>5.9240292087900004</v>
      </c>
      <c r="Q88" s="8">
        <v>4.9905234220899999E-2</v>
      </c>
      <c r="R88" s="8">
        <v>1.9250052449999999</v>
      </c>
      <c r="S88" s="8">
        <v>94.633309895915929</v>
      </c>
      <c r="T88" s="8">
        <v>141.51203325227684</v>
      </c>
      <c r="U88" s="8">
        <v>474.43834424484703</v>
      </c>
      <c r="V88" s="8">
        <f t="shared" ref="V88:V96" si="20">1/Q88</f>
        <v>20.037978292489534</v>
      </c>
      <c r="W88" s="8">
        <v>88.871441322500004</v>
      </c>
      <c r="X88" s="8">
        <v>0.21316372302600001</v>
      </c>
      <c r="Y88" s="8">
        <v>0.76279434395052403</v>
      </c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3:39" ht="12" x14ac:dyDescent="0.3">
      <c r="N89" s="6" t="s">
        <v>69</v>
      </c>
      <c r="O89" s="6" t="s">
        <v>35</v>
      </c>
      <c r="P89" s="8">
        <v>9.20344155029</v>
      </c>
      <c r="Q89" s="7">
        <f>AVERAGE(Q88,Q90:Q93)*0.9</f>
        <v>4.1185341798858008E-2</v>
      </c>
      <c r="R89" s="8">
        <v>1.7386219735599999</v>
      </c>
      <c r="S89" s="8">
        <v>82.588526032668142</v>
      </c>
      <c r="T89" s="8">
        <v>131.62448357487784</v>
      </c>
      <c r="U89" s="8">
        <v>471.13207243443605</v>
      </c>
      <c r="V89" s="8">
        <f t="shared" si="20"/>
        <v>24.280483208900506</v>
      </c>
      <c r="W89" s="8">
        <v>53.468049962099997</v>
      </c>
      <c r="X89" s="8">
        <v>0.35008013689700002</v>
      </c>
      <c r="Y89" s="8">
        <v>0.83615257048092873</v>
      </c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3:39" ht="12" x14ac:dyDescent="0.3">
      <c r="N90" s="6" t="s">
        <v>69</v>
      </c>
      <c r="O90" s="6" t="s">
        <v>35</v>
      </c>
      <c r="P90" s="8">
        <v>8.6846480534099992</v>
      </c>
      <c r="Q90" s="8">
        <v>4.9116375694700003E-2</v>
      </c>
      <c r="R90" s="8">
        <v>9.0433287922999997E-2</v>
      </c>
      <c r="S90" s="8">
        <v>98.358852779229181</v>
      </c>
      <c r="T90" s="8">
        <v>173.09259297600855</v>
      </c>
      <c r="U90" s="8">
        <v>672.86898785914286</v>
      </c>
      <c r="V90" s="8">
        <f t="shared" si="20"/>
        <v>20.359808431628782</v>
      </c>
      <c r="W90" s="8">
        <v>74.753325390900002</v>
      </c>
      <c r="X90" s="8">
        <v>0.35141287859499998</v>
      </c>
      <c r="Y90" s="8">
        <v>0.75940324263966452</v>
      </c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3:39" ht="12" x14ac:dyDescent="0.3">
      <c r="N91" s="6" t="s">
        <v>69</v>
      </c>
      <c r="O91" s="6" t="s">
        <v>35</v>
      </c>
      <c r="P91" s="8">
        <f>AVERAGE(P92:P95,P88:P90)*0.8</f>
        <v>5.2891263846502854</v>
      </c>
      <c r="Q91" s="8">
        <v>3.8762993600499999E-2</v>
      </c>
      <c r="R91" s="8">
        <v>0.26471566638299998</v>
      </c>
      <c r="S91" s="8">
        <v>43.048216379312393</v>
      </c>
      <c r="T91" s="8">
        <v>71.978117740888308</v>
      </c>
      <c r="U91" s="8">
        <v>268.80251444550561</v>
      </c>
      <c r="V91" s="8">
        <f t="shared" si="20"/>
        <v>25.79780112718387</v>
      </c>
      <c r="W91" s="8">
        <f>AVERAGE(W88:W90,W92:W96)*0.85</f>
        <v>70.630178602302138</v>
      </c>
      <c r="X91" s="8">
        <v>0.34605751185099998</v>
      </c>
      <c r="Y91" s="8">
        <v>0.83606901128069011</v>
      </c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3:39" ht="12" x14ac:dyDescent="0.3">
      <c r="N92" s="6" t="s">
        <v>69</v>
      </c>
      <c r="O92" s="6" t="s">
        <v>35</v>
      </c>
      <c r="P92" s="8">
        <v>10.1147629631</v>
      </c>
      <c r="Q92" s="8">
        <v>4.1984288278500002E-2</v>
      </c>
      <c r="R92" s="8">
        <v>0.16721451899699999</v>
      </c>
      <c r="S92" s="8">
        <v>135.00764963849196</v>
      </c>
      <c r="T92" s="8">
        <v>236.69439761117039</v>
      </c>
      <c r="U92" s="8">
        <v>917.54519323291697</v>
      </c>
      <c r="V92" s="8">
        <f t="shared" si="20"/>
        <v>23.818434014328552</v>
      </c>
      <c r="W92" s="8">
        <v>59.324483284000003</v>
      </c>
      <c r="X92" s="8">
        <v>0.27495026170300002</v>
      </c>
      <c r="Y92" s="8">
        <v>0.83621890547263678</v>
      </c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3:39" ht="12" x14ac:dyDescent="0.3">
      <c r="N93" s="6" t="s">
        <v>69</v>
      </c>
      <c r="O93" s="6" t="s">
        <v>35</v>
      </c>
      <c r="P93" s="8">
        <v>3.4114091070099999</v>
      </c>
      <c r="Q93" s="8">
        <v>4.9038562643499997E-2</v>
      </c>
      <c r="R93" s="8">
        <v>0.37676209678200001</v>
      </c>
      <c r="S93" s="8">
        <v>43.541092363305559</v>
      </c>
      <c r="T93" s="8">
        <v>72.299599592069313</v>
      </c>
      <c r="U93" s="8">
        <v>268.43678830860665</v>
      </c>
      <c r="V93" s="8">
        <f t="shared" si="20"/>
        <v>20.392114819306368</v>
      </c>
      <c r="W93" s="8">
        <v>63.530578735399999</v>
      </c>
      <c r="X93" s="8">
        <v>0.43219065508100002</v>
      </c>
      <c r="Y93" s="8">
        <v>0.83615257048092873</v>
      </c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3:39" ht="12" x14ac:dyDescent="0.3">
      <c r="N94" s="6" t="s">
        <v>69</v>
      </c>
      <c r="O94" s="6" t="s">
        <v>35</v>
      </c>
      <c r="P94" s="8">
        <v>6.04301055072</v>
      </c>
      <c r="Q94" s="7">
        <f>AVERAGE(Q88:Q93,Q95:Q96)*0.8</f>
        <v>3.298043185319581E-2</v>
      </c>
      <c r="R94" s="8">
        <v>-0.56235219142600001</v>
      </c>
      <c r="S94" s="8">
        <v>31.509917952905035</v>
      </c>
      <c r="T94" s="8">
        <v>59.389345686687562</v>
      </c>
      <c r="U94" s="8">
        <v>241.97680838387956</v>
      </c>
      <c r="V94" s="8">
        <f t="shared" si="20"/>
        <v>30.321009877955852</v>
      </c>
      <c r="W94" s="8" t="s">
        <v>15</v>
      </c>
      <c r="X94" s="8">
        <v>0.211611397841</v>
      </c>
      <c r="Y94" s="8">
        <v>0.83616343857787212</v>
      </c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3:39" ht="12" x14ac:dyDescent="0.3">
      <c r="N95" s="6" t="s">
        <v>69</v>
      </c>
      <c r="O95" s="6" t="s">
        <v>35</v>
      </c>
      <c r="P95" s="8">
        <v>2.8985544323700001</v>
      </c>
      <c r="Q95" s="8">
        <v>3.9357105372600003E-2</v>
      </c>
      <c r="R95" s="8">
        <v>0.78456984558999998</v>
      </c>
      <c r="S95" s="8">
        <v>55.259021175418511</v>
      </c>
      <c r="T95" s="8">
        <v>84.675787787245596</v>
      </c>
      <c r="U95" s="8">
        <v>291.50346190466502</v>
      </c>
      <c r="V95" s="8">
        <f t="shared" si="20"/>
        <v>25.408372656800857</v>
      </c>
      <c r="W95" s="8">
        <v>119.70937577799999</v>
      </c>
      <c r="X95" s="8">
        <v>0.150157483171</v>
      </c>
      <c r="Y95" s="8">
        <v>0.83616343857787212</v>
      </c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3:39" ht="12" x14ac:dyDescent="0.3">
      <c r="N96" s="6" t="s">
        <v>69</v>
      </c>
      <c r="O96" s="6" t="s">
        <v>35</v>
      </c>
      <c r="P96" s="8">
        <f>AVERAGE(P88:P90,P92:P95)</f>
        <v>6.6114079808128565</v>
      </c>
      <c r="Q96" s="8">
        <v>2.04544169224E-2</v>
      </c>
      <c r="R96" s="8">
        <v>-3.2418508560100001</v>
      </c>
      <c r="S96" s="8">
        <v>221.02338588301473</v>
      </c>
      <c r="T96" s="8">
        <v>483.03074505873627</v>
      </c>
      <c r="U96" s="8">
        <v>2135.2931868323426</v>
      </c>
      <c r="V96" s="8">
        <f t="shared" si="20"/>
        <v>48.889196098515136</v>
      </c>
      <c r="W96" s="8">
        <v>122.003039899</v>
      </c>
      <c r="X96" s="8">
        <v>0.33576839213100002</v>
      </c>
      <c r="Y96" s="8">
        <v>0.83616343857787212</v>
      </c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3:39" ht="12" x14ac:dyDescent="0.3">
      <c r="M97" s="9" t="s">
        <v>362</v>
      </c>
      <c r="N97" s="10" t="s">
        <v>69</v>
      </c>
      <c r="O97" s="10" t="s">
        <v>35</v>
      </c>
      <c r="P97" s="11">
        <f>AVERAGE(P88:P91,P93:P94,P96)</f>
        <v>6.4524389765261621</v>
      </c>
      <c r="Q97" s="11">
        <f>AVERAGE(Q88:Q95)</f>
        <v>4.2791291682844235E-2</v>
      </c>
      <c r="R97" s="11">
        <f>AVERAGE(R88:R96)</f>
        <v>0.1714577318665555</v>
      </c>
      <c r="S97" s="11">
        <f>AVERAGE(S88:S96)</f>
        <v>89.441108011140159</v>
      </c>
      <c r="T97" s="11">
        <f>AVERAGE(T88:T96)</f>
        <v>161.58856703110672</v>
      </c>
      <c r="U97" s="11">
        <f>AVERAGE(U88:U96)</f>
        <v>637.99970640514903</v>
      </c>
      <c r="V97" s="11">
        <f>AVERAGE(V88:V95)</f>
        <v>23.802000303574289</v>
      </c>
      <c r="W97" s="11">
        <f>AVERAGE(W88:W95)</f>
        <v>75.755347582171723</v>
      </c>
      <c r="X97" s="11">
        <f>AVERAGE(X88:X96)</f>
        <v>0.29615471558844442</v>
      </c>
      <c r="Y97" s="11">
        <f>AVERAGE(Y88:Y96)</f>
        <v>0.81947566222655421</v>
      </c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3:39" ht="12" x14ac:dyDescent="0.3">
      <c r="M98" s="9" t="s">
        <v>363</v>
      </c>
      <c r="N98" s="12" t="s">
        <v>69</v>
      </c>
      <c r="O98" s="12" t="s">
        <v>35</v>
      </c>
      <c r="P98" s="13">
        <f>_xlfn.STDEV.S(P88:P91,P93:P94,P96)</f>
        <v>1.984273630337031</v>
      </c>
      <c r="Q98" s="13">
        <f>_xlfn.STDEV.S(Q88:Q95)</f>
        <v>6.060968590943675E-3</v>
      </c>
      <c r="R98" s="13">
        <f>_xlfn.STDEV.S(R88:R96)</f>
        <v>1.5063789992405383</v>
      </c>
      <c r="S98" s="13">
        <f>_xlfn.STDEV.S(S88:S96)</f>
        <v>59.505460096325713</v>
      </c>
      <c r="T98" s="13">
        <f>_xlfn.STDEV.S(T88:T96)</f>
        <v>133.5861260123491</v>
      </c>
      <c r="U98" s="13">
        <f>_xlfn.STDEV.S(U88:U96)</f>
        <v>604.73377811814953</v>
      </c>
      <c r="V98" s="13">
        <f>_xlfn.STDEV.S(V88:V95)</f>
        <v>3.524084895446276</v>
      </c>
      <c r="W98" s="13">
        <f>_xlfn.STDEV.S(W88:W95)</f>
        <v>22.536643588225974</v>
      </c>
      <c r="X98" s="13">
        <f>_xlfn.STDEV.S(X88:X96)</f>
        <v>8.9670663458154831E-2</v>
      </c>
      <c r="Y98" s="13">
        <f>_xlfn.STDEV.S(Y88:Y96)</f>
        <v>3.3107452031729788E-2</v>
      </c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3:39" ht="12" x14ac:dyDescent="0.3">
      <c r="M99" s="14" t="s">
        <v>364</v>
      </c>
      <c r="N99" s="15" t="s">
        <v>69</v>
      </c>
      <c r="O99" s="15" t="s">
        <v>35</v>
      </c>
      <c r="P99" s="16">
        <f>P98/P97</f>
        <v>0.30752303703386841</v>
      </c>
      <c r="Q99" s="16">
        <f>Q98/SQRT(COUNT(Q88:Q96))</f>
        <v>2.0203228636478917E-3</v>
      </c>
      <c r="R99" s="16">
        <f>R98/SQRT(COUNT(R92:R96))</f>
        <v>0.67367316843598957</v>
      </c>
      <c r="S99" s="16">
        <f>S98/SQRT(COUNT(S92:S96))</f>
        <v>26.611650761557094</v>
      </c>
      <c r="T99" s="16">
        <f>T98/SQRT(COUNT(T92:T96))</f>
        <v>59.741531722893093</v>
      </c>
      <c r="U99" s="16">
        <f>U98/SQRT(COUNT(U92:U96))</f>
        <v>270.44516723249143</v>
      </c>
      <c r="V99" s="16">
        <f>V98/SQRT(COUNT(V88:V96))</f>
        <v>1.1746949651487586</v>
      </c>
      <c r="W99" s="16">
        <f>W98/SQRT(COUNT(W88:W96))</f>
        <v>7.9679067532094559</v>
      </c>
      <c r="X99" s="16">
        <f>X98/SQRT(COUNT(X92:X96))</f>
        <v>4.0101939815988114E-2</v>
      </c>
      <c r="Y99" s="16">
        <f>Y98/SQRT(COUNT(Y92:Y96))</f>
        <v>1.4806102660952265E-2</v>
      </c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3:39" ht="12" x14ac:dyDescent="0.3">
      <c r="N100" s="6" t="s">
        <v>94</v>
      </c>
      <c r="O100" s="6" t="s">
        <v>17</v>
      </c>
      <c r="P100" s="8">
        <f>AVERAGE(P101:P103)*0.8</f>
        <v>12.479753356906668</v>
      </c>
      <c r="Q100" s="17">
        <f>AVERAGE(Q101:Q103)*0.95</f>
        <v>5.3402983334219993E-2</v>
      </c>
      <c r="R100" s="8">
        <v>0.12235045432699999</v>
      </c>
      <c r="S100" s="8">
        <v>237.59046670491531</v>
      </c>
      <c r="T100" s="8">
        <v>417.17489112415876</v>
      </c>
      <c r="U100" s="8">
        <v>1619.0039280768758</v>
      </c>
      <c r="V100" s="8">
        <f>1/Q100</f>
        <v>18.725545607471933</v>
      </c>
      <c r="W100" s="8">
        <v>352.461777299</v>
      </c>
      <c r="X100" s="8">
        <v>0.17555955594</v>
      </c>
      <c r="Y100" s="8">
        <v>0.80434345465513779</v>
      </c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3:39" ht="12" x14ac:dyDescent="0.3">
      <c r="N101" s="6" t="s">
        <v>94</v>
      </c>
      <c r="O101" s="6" t="s">
        <v>17</v>
      </c>
      <c r="P101" s="8">
        <v>15.7894818293</v>
      </c>
      <c r="Q101" s="8">
        <v>6.0185484374400001E-2</v>
      </c>
      <c r="R101" s="8">
        <v>0.84521078931299998</v>
      </c>
      <c r="S101" s="8">
        <v>153.6454001832208</v>
      </c>
      <c r="T101" s="8">
        <v>263.4677809363489</v>
      </c>
      <c r="U101" s="8">
        <v>1004.1915641704591</v>
      </c>
      <c r="V101" s="8">
        <f>1/Q101</f>
        <v>16.615302018327725</v>
      </c>
      <c r="W101" s="8">
        <v>183.898043597</v>
      </c>
      <c r="X101" s="8">
        <v>0.29881068730100002</v>
      </c>
      <c r="Y101" s="8">
        <v>0.80434300000000003</v>
      </c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3:39" ht="12" x14ac:dyDescent="0.3">
      <c r="N102" s="6" t="s">
        <v>94</v>
      </c>
      <c r="O102" s="6" t="s">
        <v>17</v>
      </c>
      <c r="P102" s="8">
        <v>16.366070737299999</v>
      </c>
      <c r="Q102" s="8">
        <v>5.8073170005499997E-2</v>
      </c>
      <c r="R102" s="8">
        <v>0.510311035696</v>
      </c>
      <c r="S102" s="8">
        <v>160.72506962092908</v>
      </c>
      <c r="T102" s="8">
        <v>279.28628000213871</v>
      </c>
      <c r="U102" s="8">
        <v>1075.4313386707117</v>
      </c>
      <c r="V102" s="8">
        <f>1/Q102</f>
        <v>17.219655822220346</v>
      </c>
      <c r="W102" s="8">
        <v>173.66649594200001</v>
      </c>
      <c r="X102" s="8" t="s">
        <v>15</v>
      </c>
      <c r="Y102" s="8">
        <v>0.80434345465513779</v>
      </c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3:39" ht="12" x14ac:dyDescent="0.3">
      <c r="N103" s="6" t="s">
        <v>94</v>
      </c>
      <c r="O103" s="6" t="s">
        <v>17</v>
      </c>
      <c r="P103" s="8">
        <v>14.6435225218</v>
      </c>
      <c r="Q103" s="8">
        <v>5.0382345622899997E-2</v>
      </c>
      <c r="R103" s="8">
        <v>0.86006522912700001</v>
      </c>
      <c r="S103" s="8">
        <v>171.26861551109891</v>
      </c>
      <c r="T103" s="8">
        <v>292.79790202012782</v>
      </c>
      <c r="U103" s="8">
        <v>1113.3210338335773</v>
      </c>
      <c r="V103" s="8">
        <f>1/Q103</f>
        <v>19.848222381005534</v>
      </c>
      <c r="W103" s="8">
        <v>243.797857755</v>
      </c>
      <c r="X103" s="8">
        <v>0.258589155327</v>
      </c>
      <c r="Y103" s="8">
        <v>0.80434300000000003</v>
      </c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3:39" ht="12" x14ac:dyDescent="0.3">
      <c r="M104" s="9" t="s">
        <v>362</v>
      </c>
      <c r="N104" s="10" t="s">
        <v>94</v>
      </c>
      <c r="O104" s="10" t="s">
        <v>17</v>
      </c>
      <c r="P104" s="11">
        <f t="shared" ref="P104:Y104" si="21">AVERAGE(P100:P103)</f>
        <v>14.819707111326666</v>
      </c>
      <c r="Q104" s="11">
        <f t="shared" si="21"/>
        <v>5.5510995834254999E-2</v>
      </c>
      <c r="R104" s="11">
        <f t="shared" si="21"/>
        <v>0.58448437711574996</v>
      </c>
      <c r="S104" s="11">
        <f t="shared" si="21"/>
        <v>180.80738800504102</v>
      </c>
      <c r="T104" s="11">
        <f t="shared" si="21"/>
        <v>313.18171352069356</v>
      </c>
      <c r="U104" s="11">
        <f t="shared" si="21"/>
        <v>1202.9869661879061</v>
      </c>
      <c r="V104" s="11">
        <f t="shared" si="21"/>
        <v>18.102181457256385</v>
      </c>
      <c r="W104" s="11">
        <f t="shared" si="21"/>
        <v>238.45604364824999</v>
      </c>
      <c r="X104" s="11">
        <f t="shared" si="21"/>
        <v>0.24431979952266669</v>
      </c>
      <c r="Y104" s="11">
        <f t="shared" si="21"/>
        <v>0.80434322732756902</v>
      </c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3:39" ht="12" x14ac:dyDescent="0.3">
      <c r="M105" s="9" t="s">
        <v>363</v>
      </c>
      <c r="N105" s="12" t="s">
        <v>94</v>
      </c>
      <c r="O105" s="12" t="s">
        <v>17</v>
      </c>
      <c r="P105" s="13">
        <f t="shared" ref="P105:Y105" si="22">_xlfn.STDEV.S(P100:P103)</f>
        <v>1.7164039976808663</v>
      </c>
      <c r="Q105" s="13">
        <f t="shared" si="22"/>
        <v>4.4408088334775787E-3</v>
      </c>
      <c r="R105" s="13">
        <f t="shared" si="22"/>
        <v>0.34784695637688429</v>
      </c>
      <c r="S105" s="13">
        <f t="shared" si="22"/>
        <v>38.541662744969216</v>
      </c>
      <c r="T105" s="13">
        <f t="shared" si="22"/>
        <v>70.357317235589264</v>
      </c>
      <c r="U105" s="13">
        <f t="shared" si="22"/>
        <v>281.01016706332967</v>
      </c>
      <c r="V105" s="13">
        <f t="shared" si="22"/>
        <v>1.4636602216800301</v>
      </c>
      <c r="W105" s="13">
        <f t="shared" si="22"/>
        <v>82.057100332166058</v>
      </c>
      <c r="X105" s="13">
        <f t="shared" si="22"/>
        <v>6.2852376500372717E-2</v>
      </c>
      <c r="Y105" s="13">
        <f t="shared" si="22"/>
        <v>2.6249526617443654E-7</v>
      </c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3:39" ht="12" x14ac:dyDescent="0.3">
      <c r="M106" s="14" t="s">
        <v>364</v>
      </c>
      <c r="N106" s="15" t="s">
        <v>94</v>
      </c>
      <c r="O106" s="15" t="s">
        <v>17</v>
      </c>
      <c r="P106" s="16">
        <f>P105/P104</f>
        <v>0.11581902292583252</v>
      </c>
      <c r="Q106" s="16">
        <f>Q105/SQRT(COUNT(Q100:Q103))</f>
        <v>2.2204044167387894E-3</v>
      </c>
      <c r="R106" s="16">
        <f>R105/SQRT(COUNT(R99:R103))</f>
        <v>0.15556188804502344</v>
      </c>
      <c r="S106" s="16">
        <f>S105/SQRT(COUNT(S99:S103))</f>
        <v>17.23635557272446</v>
      </c>
      <c r="T106" s="16">
        <f>T105/SQRT(COUNT(T99:T103))</f>
        <v>31.464748810659035</v>
      </c>
      <c r="U106" s="16">
        <f>U105/SQRT(COUNT(U99:U103))</f>
        <v>125.67156718443552</v>
      </c>
      <c r="V106" s="16">
        <f>V105/SQRT(COUNT(V100:V103))</f>
        <v>0.73183011084001504</v>
      </c>
      <c r="W106" s="16">
        <f>W105/SQRT(COUNT(W100:W103))</f>
        <v>41.028550166083029</v>
      </c>
      <c r="X106" s="16">
        <f>X105/SQRT(COUNT(X99:X103))</f>
        <v>3.1426188250186358E-2</v>
      </c>
      <c r="Y106" s="16">
        <f>Y105/SQRT(COUNT(Y99:Y103))</f>
        <v>1.1739145178758824E-7</v>
      </c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3:39" ht="12" x14ac:dyDescent="0.3">
      <c r="N107" s="6" t="s">
        <v>94</v>
      </c>
      <c r="O107" s="6" t="s">
        <v>26</v>
      </c>
      <c r="P107" s="8">
        <v>1.24187772634</v>
      </c>
      <c r="Q107" s="8">
        <v>2.4092728659200001E-2</v>
      </c>
      <c r="R107" s="8">
        <v>0.86711082918799998</v>
      </c>
      <c r="S107" s="8">
        <v>64.584985541765789</v>
      </c>
      <c r="T107" s="8">
        <v>83.480026016165127</v>
      </c>
      <c r="U107" s="8">
        <v>226.77106448272735</v>
      </c>
      <c r="V107" s="8">
        <f>1/Q107</f>
        <v>41.506299022636526</v>
      </c>
      <c r="W107" s="8">
        <v>105.385992413</v>
      </c>
      <c r="X107" s="8">
        <v>7.0035615748599997E-2</v>
      </c>
      <c r="Y107" s="8" t="s">
        <v>15</v>
      </c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3:39" ht="12" x14ac:dyDescent="0.3">
      <c r="N108" s="6" t="s">
        <v>94</v>
      </c>
      <c r="O108" s="6" t="s">
        <v>26</v>
      </c>
      <c r="P108" s="8">
        <v>1.20703423367</v>
      </c>
      <c r="Q108" s="7">
        <f>AVERAGE(Q107,Q109:Q113)*0.9</f>
        <v>3.1125062908296006E-2</v>
      </c>
      <c r="R108" s="8">
        <v>0.78291310866800001</v>
      </c>
      <c r="S108" s="8">
        <v>4.5864610818976095E-2</v>
      </c>
      <c r="T108" s="8">
        <v>6.0370674374647243E-2</v>
      </c>
      <c r="U108" s="8">
        <v>0.16945786862667941</v>
      </c>
      <c r="V108" s="8">
        <f>1/Q108</f>
        <v>32.128449119807634</v>
      </c>
      <c r="W108" s="8" t="s">
        <v>15</v>
      </c>
      <c r="X108" s="8" t="s">
        <v>15</v>
      </c>
      <c r="Y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3:39" ht="12" x14ac:dyDescent="0.3">
      <c r="N109" s="6" t="s">
        <v>94</v>
      </c>
      <c r="O109" s="6" t="s">
        <v>26</v>
      </c>
      <c r="P109" s="8">
        <v>1.0010555218899999</v>
      </c>
      <c r="Q109" s="8" t="s">
        <v>15</v>
      </c>
      <c r="R109" s="8">
        <v>0.20291146942800001</v>
      </c>
      <c r="S109" s="8">
        <v>171.59067361259562</v>
      </c>
      <c r="T109" s="8">
        <v>271.60239175388261</v>
      </c>
      <c r="U109" s="8">
        <v>965.8614836979765</v>
      </c>
      <c r="V109" s="8" t="s">
        <v>15</v>
      </c>
      <c r="W109" s="8">
        <f>AVERAGE(W107:W108,W110:W116)*0.85</f>
        <v>49.315726762216663</v>
      </c>
      <c r="X109" s="8" t="s">
        <v>15</v>
      </c>
      <c r="Y109" s="8" t="s">
        <v>15</v>
      </c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3:39" ht="12" x14ac:dyDescent="0.3">
      <c r="N110" s="6" t="s">
        <v>94</v>
      </c>
      <c r="O110" s="6" t="s">
        <v>26</v>
      </c>
      <c r="P110" s="8">
        <v>1.34867580137</v>
      </c>
      <c r="Q110" s="8">
        <v>3.40845454954E-2</v>
      </c>
      <c r="R110" s="8">
        <v>0.84510431555200005</v>
      </c>
      <c r="S110" s="8">
        <v>44.978617463941447</v>
      </c>
      <c r="T110" s="8">
        <v>59.685136681341298</v>
      </c>
      <c r="U110" s="8">
        <v>169.86515457804876</v>
      </c>
      <c r="V110" s="8">
        <f t="shared" ref="V110:V116" si="23">1/Q110</f>
        <v>29.338809876017226</v>
      </c>
      <c r="W110" s="8">
        <v>37.118498718700003</v>
      </c>
      <c r="X110" s="8">
        <v>0.11381792875500001</v>
      </c>
      <c r="Y110" s="8">
        <f>AVERAGE(Y112:Y116)*0.9</f>
        <v>0.62749778852895832</v>
      </c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3:39" ht="12" x14ac:dyDescent="0.3">
      <c r="N111" s="6" t="s">
        <v>94</v>
      </c>
      <c r="O111" s="6" t="s">
        <v>26</v>
      </c>
      <c r="P111" s="8">
        <v>2.8191031302199998</v>
      </c>
      <c r="Q111" s="8">
        <v>4.5384317482699998E-2</v>
      </c>
      <c r="R111" s="8">
        <v>0.81999328318599995</v>
      </c>
      <c r="S111" s="8">
        <v>47.670140145688706</v>
      </c>
      <c r="T111" s="8">
        <v>72.375969594124328</v>
      </c>
      <c r="U111" s="8">
        <v>246.73392160611607</v>
      </c>
      <c r="V111" s="8">
        <f t="shared" si="23"/>
        <v>22.034042935231735</v>
      </c>
      <c r="W111" s="8">
        <v>29.102459427199999</v>
      </c>
      <c r="X111" s="8">
        <v>0.25852573129400003</v>
      </c>
      <c r="Y111" s="8">
        <f>AVERAGE(Y112:Y116)</f>
        <v>0.69721976503217586</v>
      </c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3:39" ht="12" x14ac:dyDescent="0.3">
      <c r="N112" s="6" t="s">
        <v>94</v>
      </c>
      <c r="O112" s="6" t="s">
        <v>26</v>
      </c>
      <c r="P112" s="8">
        <f>AVERAGE(P113:P116,P107:P111)*0.85</f>
        <v>1.4086635162099443</v>
      </c>
      <c r="Q112" s="8">
        <v>4.0366078382900003E-2</v>
      </c>
      <c r="R112" s="8">
        <v>0.77893186654299995</v>
      </c>
      <c r="S112" s="8">
        <v>82.66048445981599</v>
      </c>
      <c r="T112" s="8">
        <v>134.14122758151959</v>
      </c>
      <c r="U112" s="8">
        <v>488.17524348457312</v>
      </c>
      <c r="V112" s="8">
        <f t="shared" si="23"/>
        <v>24.773275979754896</v>
      </c>
      <c r="W112" s="8">
        <v>84.382037088700002</v>
      </c>
      <c r="X112" s="8">
        <v>0.23194177957100001</v>
      </c>
      <c r="Y112" s="8">
        <f>AVERAGE(Y113:Y115)</f>
        <v>0.67043556419906702</v>
      </c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3:39" ht="12" x14ac:dyDescent="0.3">
      <c r="N113" s="6" t="s">
        <v>94</v>
      </c>
      <c r="O113" s="6" t="s">
        <v>26</v>
      </c>
      <c r="P113" s="8">
        <v>1.8291963544000001</v>
      </c>
      <c r="Q113" s="8">
        <v>2.8989346137000001E-2</v>
      </c>
      <c r="R113" s="8">
        <v>0.77342052190099997</v>
      </c>
      <c r="S113" s="8">
        <v>56.160104927388218</v>
      </c>
      <c r="T113" s="8">
        <v>80.582360730232381</v>
      </c>
      <c r="U113" s="8">
        <v>257.13486054117936</v>
      </c>
      <c r="V113" s="8">
        <f t="shared" si="23"/>
        <v>34.495431365513589</v>
      </c>
      <c r="W113" s="8">
        <f>AVERAGE(W111:W112,W114:W116)*0.85</f>
        <v>46.202323685272503</v>
      </c>
      <c r="X113" s="8">
        <v>9.8026155171899998E-2</v>
      </c>
      <c r="Y113" s="8">
        <f>AVERAGE(Y114:Y116)</f>
        <v>0.7039158152404531</v>
      </c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3:39" ht="12" x14ac:dyDescent="0.3">
      <c r="N114" s="6" t="s">
        <v>94</v>
      </c>
      <c r="O114" s="6" t="s">
        <v>26</v>
      </c>
      <c r="P114" s="8">
        <v>1.2337174015900001</v>
      </c>
      <c r="Q114" s="7">
        <f>AVERAGE(Q107:Q113,Q115:Q116)*0.8</f>
        <v>2.7357524873449602E-2</v>
      </c>
      <c r="R114" s="8">
        <v>0.788427271928</v>
      </c>
      <c r="S114" s="8">
        <v>0.64004145786803635</v>
      </c>
      <c r="T114" s="8">
        <v>0.84543527169280042</v>
      </c>
      <c r="U114" s="8">
        <v>2.3875049943855382</v>
      </c>
      <c r="V114" s="8">
        <f t="shared" si="23"/>
        <v>36.553014376329678</v>
      </c>
      <c r="W114" s="8">
        <v>39.488420549499999</v>
      </c>
      <c r="X114" s="8">
        <v>0.11262119267200001</v>
      </c>
      <c r="Y114" s="8">
        <v>0.65369543867837399</v>
      </c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3:39" ht="12" x14ac:dyDescent="0.3">
      <c r="N115" s="6" t="s">
        <v>94</v>
      </c>
      <c r="O115" s="6" t="s">
        <v>26</v>
      </c>
      <c r="P115" s="8">
        <v>2.6317469996499998</v>
      </c>
      <c r="Q115" s="8">
        <v>3.0593402669399999E-2</v>
      </c>
      <c r="R115" s="8">
        <v>0.721127531263</v>
      </c>
      <c r="S115" s="8">
        <v>64.785741964643435</v>
      </c>
      <c r="T115" s="8">
        <v>99.121619333654621</v>
      </c>
      <c r="U115" s="8">
        <v>340.68514658320117</v>
      </c>
      <c r="V115" s="8">
        <f t="shared" si="23"/>
        <v>32.686785801705398</v>
      </c>
      <c r="W115" s="8">
        <v>64.449782630000001</v>
      </c>
      <c r="X115" s="8">
        <v>0.178619400027</v>
      </c>
      <c r="Y115" s="8">
        <v>0.65369543867837399</v>
      </c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3:39" ht="12" x14ac:dyDescent="0.3">
      <c r="N116" s="6" t="s">
        <v>94</v>
      </c>
      <c r="O116" s="6" t="s">
        <v>26</v>
      </c>
      <c r="P116" s="8">
        <v>1.6028535907399999</v>
      </c>
      <c r="Q116" s="8">
        <v>3.8939766999600001E-2</v>
      </c>
      <c r="R116" s="8">
        <v>0.56013242103000005</v>
      </c>
      <c r="S116" s="8">
        <v>33.727442133836909</v>
      </c>
      <c r="T116" s="8">
        <v>49.900714094250986</v>
      </c>
      <c r="U116" s="8">
        <v>165.27785115412891</v>
      </c>
      <c r="V116" s="8">
        <f t="shared" si="23"/>
        <v>25.68068781742511</v>
      </c>
      <c r="W116" s="8" t="s">
        <v>15</v>
      </c>
      <c r="X116" s="8">
        <v>0.14010456076960001</v>
      </c>
      <c r="Y116" s="8">
        <v>0.80435656836461122</v>
      </c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3:39" ht="12" x14ac:dyDescent="0.3">
      <c r="M117" s="9" t="s">
        <v>362</v>
      </c>
      <c r="N117" s="10" t="s">
        <v>94</v>
      </c>
      <c r="O117" s="10" t="s">
        <v>26</v>
      </c>
      <c r="P117" s="11">
        <f>AVERAGE(P112:P116,P107:P110)</f>
        <v>1.5005356828733272</v>
      </c>
      <c r="Q117" s="11">
        <f t="shared" ref="Q117:Y117" si="24">AVERAGE(Q107:Q116)</f>
        <v>3.3436974845327289E-2</v>
      </c>
      <c r="R117" s="11">
        <f t="shared" si="24"/>
        <v>0.71400726186869989</v>
      </c>
      <c r="S117" s="11">
        <f t="shared" si="24"/>
        <v>56.684409631836317</v>
      </c>
      <c r="T117" s="11">
        <f t="shared" si="24"/>
        <v>85.179525173123849</v>
      </c>
      <c r="U117" s="11">
        <f t="shared" si="24"/>
        <v>286.30616889909629</v>
      </c>
      <c r="V117" s="11">
        <f t="shared" si="24"/>
        <v>31.021866254935755</v>
      </c>
      <c r="W117" s="11">
        <f t="shared" si="24"/>
        <v>56.930655159323649</v>
      </c>
      <c r="X117" s="11">
        <f t="shared" si="24"/>
        <v>0.15046154550113752</v>
      </c>
      <c r="Y117" s="11">
        <f t="shared" si="24"/>
        <v>0.68725948267457326</v>
      </c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3:39" ht="12" x14ac:dyDescent="0.3">
      <c r="M118" s="9" t="s">
        <v>363</v>
      </c>
      <c r="N118" s="12" t="s">
        <v>94</v>
      </c>
      <c r="O118" s="12" t="s">
        <v>26</v>
      </c>
      <c r="P118" s="13">
        <f>_xlfn.STDEV.S(P112:P116,P107:P110)</f>
        <v>0.48776880008683277</v>
      </c>
      <c r="Q118" s="13">
        <f t="shared" ref="Q118:Y118" si="25">_xlfn.STDEV.S(Q107:Q116)</f>
        <v>6.8823908506428638E-3</v>
      </c>
      <c r="R118" s="13">
        <f t="shared" si="25"/>
        <v>0.19856114195076183</v>
      </c>
      <c r="S118" s="13">
        <f t="shared" si="25"/>
        <v>48.420303952475642</v>
      </c>
      <c r="T118" s="13">
        <f t="shared" si="25"/>
        <v>77.305408944044885</v>
      </c>
      <c r="U118" s="13">
        <f t="shared" si="25"/>
        <v>279.31570501841929</v>
      </c>
      <c r="V118" s="13">
        <f t="shared" si="25"/>
        <v>6.2024771426619392</v>
      </c>
      <c r="W118" s="13">
        <f t="shared" si="25"/>
        <v>26.192368451101281</v>
      </c>
      <c r="X118" s="13">
        <f t="shared" si="25"/>
        <v>6.6771974430459763E-2</v>
      </c>
      <c r="Y118" s="13">
        <f t="shared" si="25"/>
        <v>5.8017185004488915E-2</v>
      </c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3:39" ht="12" x14ac:dyDescent="0.3">
      <c r="M119" s="14" t="s">
        <v>364</v>
      </c>
      <c r="N119" s="15" t="s">
        <v>94</v>
      </c>
      <c r="O119" s="15" t="s">
        <v>26</v>
      </c>
      <c r="P119" s="16">
        <f>P118/P117</f>
        <v>0.32506311289633588</v>
      </c>
      <c r="Q119" s="16">
        <f>Q118/SQRT(COUNT(Q107:Q116))</f>
        <v>2.2941302835476213E-3</v>
      </c>
      <c r="R119" s="16">
        <f>R118/SQRT(COUNT(R112:R116))</f>
        <v>8.8799242218377719E-2</v>
      </c>
      <c r="S119" s="16">
        <f>S118/SQRT(COUNT(S112:S116))</f>
        <v>21.654218225787456</v>
      </c>
      <c r="T119" s="16">
        <f>T118/SQRT(COUNT(T112:T116))</f>
        <v>34.572029885460921</v>
      </c>
      <c r="U119" s="16">
        <f>U118/SQRT(COUNT(U112:U116))</f>
        <v>124.91378072089293</v>
      </c>
      <c r="V119" s="16">
        <f>V118/SQRT(COUNT(V107:V116))</f>
        <v>2.0674923808873129</v>
      </c>
      <c r="W119" s="16">
        <f>W118/SQRT(COUNT(W107:W116))</f>
        <v>9.2604006735551518</v>
      </c>
      <c r="X119" s="16">
        <f>X118/SQRT(COUNT(X112:X116))</f>
        <v>2.9861334763677166E-2</v>
      </c>
      <c r="Y119" s="16">
        <f>Y118/SQRT(COUNT(Y112:Y116))</f>
        <v>2.5946073906643729E-2</v>
      </c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3:39" ht="12" x14ac:dyDescent="0.3">
      <c r="N120" s="6" t="s">
        <v>94</v>
      </c>
      <c r="O120" s="6" t="s">
        <v>35</v>
      </c>
      <c r="P120" s="8">
        <v>1.2337174015900001</v>
      </c>
      <c r="Q120" s="8" t="s">
        <v>15</v>
      </c>
      <c r="R120" s="8">
        <v>0.788427271928</v>
      </c>
      <c r="S120" s="8">
        <v>0.64004145786803635</v>
      </c>
      <c r="T120" s="8">
        <v>0.84543527169280042</v>
      </c>
      <c r="U120" s="8">
        <v>2.3875049943855382</v>
      </c>
      <c r="V120" s="8" t="s">
        <v>15</v>
      </c>
      <c r="W120" s="8">
        <v>39.488420549499999</v>
      </c>
      <c r="X120" s="8">
        <v>0.11262119267200001</v>
      </c>
      <c r="Y120" s="8">
        <v>0.65369543867837399</v>
      </c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3:39" ht="12" x14ac:dyDescent="0.3">
      <c r="N121" s="6" t="s">
        <v>94</v>
      </c>
      <c r="O121" s="6" t="s">
        <v>35</v>
      </c>
      <c r="P121" s="8">
        <f>AVERAGE(P122:P128,P120)*0.85</f>
        <v>1.2344335956431876</v>
      </c>
      <c r="Q121" s="8">
        <v>3.0593402669399999E-2</v>
      </c>
      <c r="R121" s="8">
        <v>0.721127531263</v>
      </c>
      <c r="S121" s="8">
        <v>64.785741964643435</v>
      </c>
      <c r="T121" s="8">
        <v>99.121619333654621</v>
      </c>
      <c r="U121" s="8">
        <v>340.68514658320117</v>
      </c>
      <c r="V121" s="8">
        <f>1/Q121</f>
        <v>32.686785801705398</v>
      </c>
      <c r="W121" s="8">
        <v>64.449782630000001</v>
      </c>
      <c r="X121" s="8">
        <v>0.178619400027</v>
      </c>
      <c r="Y121" s="8">
        <v>0.65369543867837399</v>
      </c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3:39" ht="12" x14ac:dyDescent="0.3">
      <c r="N122" s="6" t="s">
        <v>94</v>
      </c>
      <c r="O122" s="6" t="s">
        <v>35</v>
      </c>
      <c r="P122" s="8">
        <v>1.6028535907399999</v>
      </c>
      <c r="Q122" s="8">
        <v>3.8939766999600001E-2</v>
      </c>
      <c r="R122" s="8">
        <v>0.56013242103000005</v>
      </c>
      <c r="S122" s="8">
        <v>33.727442133836909</v>
      </c>
      <c r="T122" s="8">
        <v>49.900714094250986</v>
      </c>
      <c r="U122" s="8">
        <v>165.27785115412891</v>
      </c>
      <c r="V122" s="8">
        <f>1/Q122</f>
        <v>25.68068781742511</v>
      </c>
      <c r="W122" s="8" t="s">
        <v>15</v>
      </c>
      <c r="X122" s="8">
        <v>0.14010456076960001</v>
      </c>
      <c r="Y122" s="8">
        <v>0.80435656836461122</v>
      </c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3:39" ht="12" x14ac:dyDescent="0.3">
      <c r="N123" s="6" t="s">
        <v>94</v>
      </c>
      <c r="O123" s="6" t="s">
        <v>35</v>
      </c>
      <c r="P123" s="8">
        <v>1.4729173151099999</v>
      </c>
      <c r="Q123" s="8" t="s">
        <v>15</v>
      </c>
      <c r="R123" s="8">
        <v>0.55752503888600002</v>
      </c>
      <c r="S123" s="8">
        <v>6.9850092749764781E-2</v>
      </c>
      <c r="T123" s="8">
        <v>0.10207671793297837</v>
      </c>
      <c r="U123" s="8">
        <v>0.33319425344877762</v>
      </c>
      <c r="V123" s="8" t="s">
        <v>15</v>
      </c>
      <c r="W123" s="8">
        <v>32.945519739399998</v>
      </c>
      <c r="X123" s="8">
        <v>0.17404771825400001</v>
      </c>
      <c r="Y123" s="8">
        <v>0.73896697068656036</v>
      </c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3:39" ht="12" x14ac:dyDescent="0.3">
      <c r="N124" s="6" t="s">
        <v>94</v>
      </c>
      <c r="O124" s="6" t="s">
        <v>35</v>
      </c>
      <c r="P124" s="8">
        <v>1.4488470905399999</v>
      </c>
      <c r="Q124" s="8">
        <v>2.93132205433E-2</v>
      </c>
      <c r="R124" s="8">
        <v>0.74398249778199999</v>
      </c>
      <c r="S124" s="8">
        <v>48.861220519035022</v>
      </c>
      <c r="T124" s="8">
        <v>67.64544773886719</v>
      </c>
      <c r="U124" s="8">
        <v>205.64292624354758</v>
      </c>
      <c r="V124" s="8">
        <f>1/Q124</f>
        <v>34.114300014317799</v>
      </c>
      <c r="W124" s="8">
        <v>44.618162183099997</v>
      </c>
      <c r="X124" s="8">
        <v>0.12903787677</v>
      </c>
      <c r="Y124" s="8">
        <v>0.73896697068656036</v>
      </c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3:39" ht="12" x14ac:dyDescent="0.3">
      <c r="N125" s="6" t="s">
        <v>94</v>
      </c>
      <c r="O125" s="6" t="s">
        <v>35</v>
      </c>
      <c r="P125" s="8">
        <v>1.6246239086900001</v>
      </c>
      <c r="Q125" s="7">
        <f>AVERAGE(Q120:Q124,Q126:Q128)*0.8</f>
        <v>2.4691095600160001E-2</v>
      </c>
      <c r="R125" s="8">
        <v>0.67818748584300004</v>
      </c>
      <c r="S125" s="8">
        <v>84.550153771347127</v>
      </c>
      <c r="T125" s="8">
        <v>121.58423434546501</v>
      </c>
      <c r="U125" s="8">
        <v>389.05138865681937</v>
      </c>
      <c r="V125" s="8">
        <f>1/Q125</f>
        <v>40.500430446412423</v>
      </c>
      <c r="W125" s="8">
        <v>48.353559838000002</v>
      </c>
      <c r="X125" s="8">
        <v>8.7113455848200003E-2</v>
      </c>
      <c r="Y125" s="8">
        <v>0.80428954423592491</v>
      </c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3:39" ht="12" x14ac:dyDescent="0.3">
      <c r="N126" s="6" t="s">
        <v>94</v>
      </c>
      <c r="O126" s="6" t="s">
        <v>35</v>
      </c>
      <c r="P126" s="8">
        <v>1.3840151484100001</v>
      </c>
      <c r="Q126" s="8" t="s">
        <v>15</v>
      </c>
      <c r="R126" s="8">
        <v>0.62830461151799999</v>
      </c>
      <c r="S126" s="8">
        <v>4.7110104034631783E-2</v>
      </c>
      <c r="T126" s="8">
        <v>6.6755514910130834E-2</v>
      </c>
      <c r="U126" s="8">
        <v>0.20956839465220256</v>
      </c>
      <c r="V126" s="8" t="s">
        <v>15</v>
      </c>
      <c r="W126" s="8">
        <v>27.304824309200001</v>
      </c>
      <c r="X126" s="8">
        <v>0.17331627579</v>
      </c>
      <c r="Y126" s="8">
        <v>0.73081121375895219</v>
      </c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3:39" ht="12" x14ac:dyDescent="0.3">
      <c r="N127" s="6" t="s">
        <v>94</v>
      </c>
      <c r="O127" s="6" t="s">
        <v>35</v>
      </c>
      <c r="P127" s="8">
        <v>1.62293069043</v>
      </c>
      <c r="Q127" s="8">
        <v>2.46090877885E-2</v>
      </c>
      <c r="R127" s="8">
        <v>0.96701705248699998</v>
      </c>
      <c r="S127" s="8">
        <v>72.07302950625926</v>
      </c>
      <c r="T127" s="8">
        <v>96.7318793868087</v>
      </c>
      <c r="U127" s="8">
        <v>280.50043661319302</v>
      </c>
      <c r="V127" s="8">
        <f>1/Q127</f>
        <v>40.635394883158042</v>
      </c>
      <c r="W127" s="8">
        <v>44.155388219999999</v>
      </c>
      <c r="X127" s="8">
        <v>7.4943135023699994E-2</v>
      </c>
      <c r="Y127" s="8">
        <v>0.80435656836461122</v>
      </c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3:39" ht="12" x14ac:dyDescent="0.3">
      <c r="N128" s="6" t="s">
        <v>94</v>
      </c>
      <c r="O128" s="6" t="s">
        <v>35</v>
      </c>
      <c r="P128" s="8">
        <v>1.22829340172</v>
      </c>
      <c r="Q128" s="8" t="s">
        <v>15</v>
      </c>
      <c r="R128" s="8">
        <v>0.79412379691299995</v>
      </c>
      <c r="S128" s="8">
        <v>1.0149397470428536</v>
      </c>
      <c r="T128" s="8">
        <v>1.3369744254738412</v>
      </c>
      <c r="U128" s="8">
        <v>3.7578450600567015</v>
      </c>
      <c r="V128" s="8" t="s">
        <v>15</v>
      </c>
      <c r="W128" s="8">
        <f>AVERAGE(W120:W127)*0.85</f>
        <v>36.588329835545714</v>
      </c>
      <c r="X128" s="8">
        <v>6.7561379584000006E-2</v>
      </c>
      <c r="Y128" s="8">
        <v>0.57078433664523676</v>
      </c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3:39" ht="12" x14ac:dyDescent="0.3">
      <c r="M129" s="9" t="s">
        <v>362</v>
      </c>
      <c r="N129" s="10" t="s">
        <v>94</v>
      </c>
      <c r="O129" s="10" t="s">
        <v>35</v>
      </c>
      <c r="P129" s="11">
        <f t="shared" ref="P129:Y129" si="26">AVERAGE(P120:P128)</f>
        <v>1.4280702380970209</v>
      </c>
      <c r="Q129" s="11">
        <f t="shared" si="26"/>
        <v>2.9629314720192E-2</v>
      </c>
      <c r="R129" s="11">
        <f t="shared" si="26"/>
        <v>0.71542530085000011</v>
      </c>
      <c r="S129" s="11">
        <f t="shared" si="26"/>
        <v>33.974392144090785</v>
      </c>
      <c r="T129" s="11">
        <f t="shared" si="26"/>
        <v>48.592792981006255</v>
      </c>
      <c r="U129" s="11">
        <f t="shared" si="26"/>
        <v>154.2050957726037</v>
      </c>
      <c r="V129" s="11">
        <f t="shared" si="26"/>
        <v>34.72351979260376</v>
      </c>
      <c r="W129" s="11">
        <f t="shared" si="26"/>
        <v>42.237998413093216</v>
      </c>
      <c r="X129" s="11">
        <f t="shared" si="26"/>
        <v>0.12637388830427779</v>
      </c>
      <c r="Y129" s="11">
        <f t="shared" si="26"/>
        <v>0.72221367223324495</v>
      </c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3:39" ht="12" x14ac:dyDescent="0.3">
      <c r="M130" s="9" t="s">
        <v>363</v>
      </c>
      <c r="N130" s="12" t="s">
        <v>94</v>
      </c>
      <c r="O130" s="12" t="s">
        <v>35</v>
      </c>
      <c r="P130" s="13">
        <f t="shared" ref="P130:Y130" si="27">_xlfn.STDEV.S(P120:P128)</f>
        <v>0.1683433653360773</v>
      </c>
      <c r="Q130" s="13">
        <f t="shared" si="27"/>
        <v>5.8588093771845288E-3</v>
      </c>
      <c r="R130" s="13">
        <f t="shared" si="27"/>
        <v>0.12927404037121498</v>
      </c>
      <c r="S130" s="13">
        <f t="shared" si="27"/>
        <v>34.782385323770875</v>
      </c>
      <c r="T130" s="13">
        <f t="shared" si="27"/>
        <v>49.72681267111426</v>
      </c>
      <c r="U130" s="13">
        <f t="shared" si="27"/>
        <v>158.79259299134497</v>
      </c>
      <c r="V130" s="13">
        <f t="shared" si="27"/>
        <v>6.2172181883791655</v>
      </c>
      <c r="W130" s="13">
        <f t="shared" si="27"/>
        <v>11.269008037636672</v>
      </c>
      <c r="X130" s="13">
        <f t="shared" si="27"/>
        <v>4.3640799803297617E-2</v>
      </c>
      <c r="Y130" s="13">
        <f t="shared" si="27"/>
        <v>8.153754013390202E-2</v>
      </c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3:39" ht="12" x14ac:dyDescent="0.3">
      <c r="M131" s="14" t="s">
        <v>364</v>
      </c>
      <c r="N131" s="15" t="s">
        <v>94</v>
      </c>
      <c r="O131" s="15" t="s">
        <v>35</v>
      </c>
      <c r="P131" s="16">
        <f>P130/P129</f>
        <v>0.11788171256926672</v>
      </c>
      <c r="Q131" s="16">
        <f>Q130/SQRT(COUNT(Q120:Q128))</f>
        <v>2.6201392069195623E-3</v>
      </c>
      <c r="R131" s="16">
        <f>R130/SQRT(COUNT(R124:R128))</f>
        <v>5.7813108399217765E-2</v>
      </c>
      <c r="S131" s="16">
        <f>S130/SQRT(COUNT(S124:S128))</f>
        <v>15.55515560070854</v>
      </c>
      <c r="T131" s="16">
        <f>T130/SQRT(COUNT(T124:T128))</f>
        <v>22.238506687401873</v>
      </c>
      <c r="U131" s="16">
        <f>U130/SQRT(COUNT(U124:U128))</f>
        <v>71.014206450420801</v>
      </c>
      <c r="V131" s="16">
        <f>V130/SQRT(COUNT(V120:V128))</f>
        <v>2.7804245000327814</v>
      </c>
      <c r="W131" s="16">
        <f>W130/SQRT(COUNT(W120:W128))</f>
        <v>3.9841960003292995</v>
      </c>
      <c r="X131" s="16">
        <f>X130/SQRT(COUNT(X124:X128))</f>
        <v>1.9516758990526583E-2</v>
      </c>
      <c r="Y131" s="16">
        <f>Y130/SQRT(COUNT(Y124:Y128))</f>
        <v>3.6464696491504439E-2</v>
      </c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3:39" ht="12" x14ac:dyDescent="0.3">
      <c r="N132" s="6" t="s">
        <v>119</v>
      </c>
      <c r="O132" s="6" t="s">
        <v>17</v>
      </c>
      <c r="P132" s="8">
        <v>2.97757748617</v>
      </c>
      <c r="Q132" s="17">
        <f>AVERAGE(Q133:Q135)*0.95</f>
        <v>3.7081343635306109E-2</v>
      </c>
      <c r="R132" s="8">
        <v>0.48822997771299997</v>
      </c>
      <c r="S132" s="8">
        <v>316.60476241569512</v>
      </c>
      <c r="T132" s="8">
        <v>511.01296192510995</v>
      </c>
      <c r="U132" s="8">
        <v>1850.6419303266916</v>
      </c>
      <c r="V132" s="8">
        <f>1/Q132</f>
        <v>26.967739082892187</v>
      </c>
      <c r="W132" s="8" t="s">
        <v>15</v>
      </c>
      <c r="X132" s="8">
        <v>0.18011281683880001</v>
      </c>
      <c r="Y132" s="8">
        <v>0.82389500000000004</v>
      </c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3:39" ht="12" x14ac:dyDescent="0.3">
      <c r="N133" s="6" t="s">
        <v>119</v>
      </c>
      <c r="O133" s="6" t="s">
        <v>17</v>
      </c>
      <c r="P133" s="8">
        <v>1.22116015536</v>
      </c>
      <c r="Q133" s="7">
        <f>AVERAGE(Q134:Q136)</f>
        <v>4.0123405061766669E-2</v>
      </c>
      <c r="R133" s="8">
        <v>0.79692683385700003</v>
      </c>
      <c r="S133" s="8">
        <f>AVERAGE(S135:S136,S132)*0.9</f>
        <v>143.63064949080547</v>
      </c>
      <c r="T133" s="8">
        <v>0.37544230461107986</v>
      </c>
      <c r="U133" s="8">
        <v>1.0511790421339438</v>
      </c>
      <c r="V133" s="8">
        <f>1/Q133</f>
        <v>24.923109054692208</v>
      </c>
      <c r="W133" s="8">
        <v>76.341285253999999</v>
      </c>
      <c r="X133" s="8">
        <v>0.28583792255509999</v>
      </c>
      <c r="Y133" s="8">
        <v>0.71569000000000005</v>
      </c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3:39" ht="12" x14ac:dyDescent="0.3">
      <c r="N134" s="6" t="s">
        <v>119</v>
      </c>
      <c r="O134" s="6" t="s">
        <v>17</v>
      </c>
      <c r="P134" s="8">
        <f>AVERAGE(P135:P136,P132:P133)</f>
        <v>3.6875222677250004</v>
      </c>
      <c r="Q134" s="8">
        <v>3.2521290734699997E-2</v>
      </c>
      <c r="R134" s="8">
        <v>1.56584551207E-2</v>
      </c>
      <c r="S134" s="8">
        <v>205.23587534306378</v>
      </c>
      <c r="T134" s="8">
        <v>363.22925262892653</v>
      </c>
      <c r="U134" s="8">
        <v>1417.8790209038727</v>
      </c>
      <c r="V134" s="8">
        <f>1/Q134</f>
        <v>30.749087056775604</v>
      </c>
      <c r="W134" s="8">
        <f>AVERAGE(W135:W136,W132:W133)*0.95</f>
        <v>86.663614423378334</v>
      </c>
      <c r="X134" s="8">
        <v>0.23854342732</v>
      </c>
      <c r="Y134" s="8">
        <v>0.82389500000000004</v>
      </c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3:39" ht="12" x14ac:dyDescent="0.3">
      <c r="N135" s="6" t="s">
        <v>119</v>
      </c>
      <c r="O135" s="6" t="s">
        <v>17</v>
      </c>
      <c r="P135" s="8">
        <v>4.3361228148400004</v>
      </c>
      <c r="Q135" s="8">
        <v>4.4454284104500003E-2</v>
      </c>
      <c r="R135" s="8">
        <v>1.2239713947999999</v>
      </c>
      <c r="S135" s="8">
        <v>74.141167327788963</v>
      </c>
      <c r="T135" s="8">
        <v>113.00677900496277</v>
      </c>
      <c r="U135" s="8">
        <v>386.85850902978683</v>
      </c>
      <c r="V135" s="8">
        <f>1/Q135</f>
        <v>22.495019774680667</v>
      </c>
      <c r="W135" s="8">
        <v>95.932385741299996</v>
      </c>
      <c r="X135" s="8">
        <v>0.19166090924699999</v>
      </c>
      <c r="Y135" s="8">
        <v>0.82389500000000004</v>
      </c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3:39" ht="12" x14ac:dyDescent="0.3">
      <c r="N136" s="6" t="s">
        <v>119</v>
      </c>
      <c r="O136" s="6" t="s">
        <v>17</v>
      </c>
      <c r="P136" s="8">
        <v>6.21522861453</v>
      </c>
      <c r="Q136" s="8">
        <v>4.3394640346100001E-2</v>
      </c>
      <c r="R136" s="8">
        <v>0.58844938142199998</v>
      </c>
      <c r="S136" s="8">
        <v>88.022901892534165</v>
      </c>
      <c r="T136" s="8">
        <v>147.43729522302147</v>
      </c>
      <c r="U136" s="8">
        <v>551.41293542584071</v>
      </c>
      <c r="V136" s="8">
        <f>1/Q136</f>
        <v>23.044320497286314</v>
      </c>
      <c r="W136" s="8">
        <v>101.40090086799999</v>
      </c>
      <c r="X136" s="8">
        <v>0.26008901006099999</v>
      </c>
      <c r="Y136" s="8">
        <v>0.82389500000000004</v>
      </c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3:39" ht="12" x14ac:dyDescent="0.3">
      <c r="M137" s="9" t="s">
        <v>362</v>
      </c>
      <c r="N137" s="10" t="s">
        <v>119</v>
      </c>
      <c r="O137" s="10" t="s">
        <v>17</v>
      </c>
      <c r="P137" s="11">
        <f t="shared" ref="P137:Y137" si="28">AVERAGE(P132:P136)</f>
        <v>3.6875222677250008</v>
      </c>
      <c r="Q137" s="11">
        <f t="shared" si="28"/>
        <v>3.9514992776474557E-2</v>
      </c>
      <c r="R137" s="11">
        <f t="shared" si="28"/>
        <v>0.62264720858254008</v>
      </c>
      <c r="S137" s="11">
        <f t="shared" si="28"/>
        <v>165.52707129397749</v>
      </c>
      <c r="T137" s="11">
        <f t="shared" si="28"/>
        <v>227.01234621732632</v>
      </c>
      <c r="U137" s="11">
        <f t="shared" si="28"/>
        <v>841.56871494566508</v>
      </c>
      <c r="V137" s="11">
        <f t="shared" si="28"/>
        <v>25.635855093265398</v>
      </c>
      <c r="W137" s="11">
        <f t="shared" si="28"/>
        <v>90.084546571669577</v>
      </c>
      <c r="X137" s="11">
        <f t="shared" si="28"/>
        <v>0.23124881720437998</v>
      </c>
      <c r="Y137" s="11">
        <f t="shared" si="28"/>
        <v>0.80225400000000013</v>
      </c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3:39" ht="12" x14ac:dyDescent="0.3">
      <c r="M138" s="9" t="s">
        <v>363</v>
      </c>
      <c r="N138" s="12" t="s">
        <v>119</v>
      </c>
      <c r="O138" s="12" t="s">
        <v>17</v>
      </c>
      <c r="P138" s="13">
        <f t="shared" ref="P138:Y138" si="29">_xlfn.STDEV.S(P132:P136)</f>
        <v>1.8300919176070671</v>
      </c>
      <c r="Q138" s="13">
        <f t="shared" si="29"/>
        <v>4.8644872799693374E-3</v>
      </c>
      <c r="R138" s="13">
        <f t="shared" si="29"/>
        <v>0.44148527576868069</v>
      </c>
      <c r="S138" s="13">
        <f t="shared" si="29"/>
        <v>99.044170550044655</v>
      </c>
      <c r="T138" s="13">
        <f t="shared" si="29"/>
        <v>206.09775570469415</v>
      </c>
      <c r="U138" s="13">
        <f t="shared" si="29"/>
        <v>766.12397800016799</v>
      </c>
      <c r="V138" s="13">
        <f t="shared" si="29"/>
        <v>3.3543986439678415</v>
      </c>
      <c r="W138" s="13">
        <f t="shared" si="29"/>
        <v>10.997531630975354</v>
      </c>
      <c r="X138" s="13">
        <f t="shared" si="29"/>
        <v>4.485262387410744E-2</v>
      </c>
      <c r="Y138" s="13">
        <f t="shared" si="29"/>
        <v>4.839074710107294E-2</v>
      </c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3:39" ht="12" x14ac:dyDescent="0.3">
      <c r="M139" s="14" t="s">
        <v>364</v>
      </c>
      <c r="N139" s="15" t="s">
        <v>119</v>
      </c>
      <c r="O139" s="15" t="s">
        <v>17</v>
      </c>
      <c r="P139" s="16">
        <f>P138/P137</f>
        <v>0.49629311628160921</v>
      </c>
      <c r="Q139" s="16">
        <f t="shared" ref="Q139:Y139" si="30">Q138/SQRT(COUNT(Q132:Q136))</f>
        <v>2.175464846738898E-3</v>
      </c>
      <c r="R139" s="16">
        <f t="shared" si="30"/>
        <v>0.19743821753680213</v>
      </c>
      <c r="S139" s="16">
        <f t="shared" si="30"/>
        <v>44.293899624996513</v>
      </c>
      <c r="T139" s="16">
        <f t="shared" si="30"/>
        <v>92.169718353168236</v>
      </c>
      <c r="U139" s="16">
        <f t="shared" si="30"/>
        <v>342.62105880018578</v>
      </c>
      <c r="V139" s="16">
        <f t="shared" si="30"/>
        <v>1.5001326783090416</v>
      </c>
      <c r="W139" s="16">
        <f t="shared" si="30"/>
        <v>5.4987658154876771</v>
      </c>
      <c r="X139" s="16">
        <f t="shared" si="30"/>
        <v>2.005870319034684E-2</v>
      </c>
      <c r="Y139" s="16">
        <f t="shared" si="30"/>
        <v>2.1640999999999994E-2</v>
      </c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3:39" ht="12" x14ac:dyDescent="0.3">
      <c r="N140" s="6" t="s">
        <v>119</v>
      </c>
      <c r="O140" s="6" t="s">
        <v>26</v>
      </c>
      <c r="P140" s="8">
        <v>2.24422102164</v>
      </c>
      <c r="Q140" s="8">
        <v>2.1660294686399999E-2</v>
      </c>
      <c r="R140" s="8">
        <v>1.50253912495</v>
      </c>
      <c r="S140" s="8">
        <v>124.70761163825996</v>
      </c>
      <c r="T140" s="8">
        <v>162.89790631403918</v>
      </c>
      <c r="U140" s="8">
        <v>451.11391623707004</v>
      </c>
      <c r="V140" s="8">
        <f>1/Q140</f>
        <v>46.167423595943823</v>
      </c>
      <c r="W140" s="8">
        <v>74.4015147609</v>
      </c>
      <c r="X140" s="8">
        <v>0.42407660267000002</v>
      </c>
      <c r="Y140" s="8">
        <v>0.82390600000000003</v>
      </c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3:39" ht="12" x14ac:dyDescent="0.3">
      <c r="N141" s="6" t="s">
        <v>119</v>
      </c>
      <c r="O141" s="6" t="s">
        <v>26</v>
      </c>
      <c r="P141" s="8">
        <f>AVERAGE(P149:P151,P140,P142:P144)*0.85</f>
        <v>1.5209564688138568</v>
      </c>
      <c r="Q141" s="8">
        <v>5.7873084754799999E-2</v>
      </c>
      <c r="R141" s="8">
        <v>0.24225646157399999</v>
      </c>
      <c r="S141" s="8">
        <v>78.663444376929874</v>
      </c>
      <c r="T141" s="8">
        <v>136.76176731611213</v>
      </c>
      <c r="U141" s="8">
        <v>526.82850355058179</v>
      </c>
      <c r="V141" s="8">
        <f>1/Q141</f>
        <v>17.279189527167201</v>
      </c>
      <c r="W141" s="8">
        <v>80.045710406300003</v>
      </c>
      <c r="X141" s="8">
        <v>0.32025569977099999</v>
      </c>
      <c r="Y141" s="8">
        <v>0.82389500000000004</v>
      </c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3:39" ht="12" x14ac:dyDescent="0.3">
      <c r="N142" s="6" t="s">
        <v>119</v>
      </c>
      <c r="O142" s="6" t="s">
        <v>26</v>
      </c>
      <c r="P142" s="8">
        <v>1.39915056202</v>
      </c>
      <c r="Q142" s="8" t="s">
        <v>15</v>
      </c>
      <c r="R142" s="8">
        <v>0.65097858426400002</v>
      </c>
      <c r="S142" s="8">
        <v>0.22445170767141001</v>
      </c>
      <c r="T142" s="8">
        <v>0.31662977586141711</v>
      </c>
      <c r="U142" s="8">
        <v>0.98806820095351544</v>
      </c>
      <c r="V142" s="8" t="s">
        <v>15</v>
      </c>
      <c r="W142" s="8" t="s">
        <v>15</v>
      </c>
      <c r="X142" s="8">
        <v>0.45164656257199998</v>
      </c>
      <c r="Y142" s="8">
        <v>0.762907</v>
      </c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3:39" ht="12" x14ac:dyDescent="0.3">
      <c r="N143" s="6" t="s">
        <v>119</v>
      </c>
      <c r="O143" s="6" t="s">
        <v>26</v>
      </c>
      <c r="P143" s="8">
        <v>1.92562826139</v>
      </c>
      <c r="Q143" s="8">
        <v>4.3277132326000001E-2</v>
      </c>
      <c r="R143" s="8">
        <v>0.90872172017399999</v>
      </c>
      <c r="S143" s="8">
        <v>41.89657442169969</v>
      </c>
      <c r="T143" s="8">
        <v>58.948188181568305</v>
      </c>
      <c r="U143" s="8">
        <v>183.30111027717038</v>
      </c>
      <c r="V143" s="8">
        <f>1/Q143</f>
        <v>23.106891474859133</v>
      </c>
      <c r="W143" s="8">
        <v>40.056558435699998</v>
      </c>
      <c r="X143" s="8">
        <v>0.22711202611799999</v>
      </c>
      <c r="Y143" s="8">
        <v>0.82389500000000004</v>
      </c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3:39" ht="12" x14ac:dyDescent="0.3">
      <c r="N144" s="6" t="s">
        <v>119</v>
      </c>
      <c r="O144" s="6" t="s">
        <v>26</v>
      </c>
      <c r="P144" s="8">
        <v>1.23185171051</v>
      </c>
      <c r="Q144" s="8" t="s">
        <v>15</v>
      </c>
      <c r="R144" s="8">
        <v>0.79029935634199999</v>
      </c>
      <c r="S144" s="8">
        <v>0.13106595771199947</v>
      </c>
      <c r="T144" s="8">
        <v>0.17296785374136517</v>
      </c>
      <c r="U144" s="8">
        <v>0.4876952884747886</v>
      </c>
      <c r="V144" s="8" t="s">
        <v>15</v>
      </c>
      <c r="W144" s="8" t="s">
        <v>15</v>
      </c>
      <c r="X144" s="8">
        <v>0.327881463441</v>
      </c>
      <c r="Y144" s="8">
        <v>0.75437907319379749</v>
      </c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3:39" ht="12" x14ac:dyDescent="0.3">
      <c r="N145" s="6" t="s">
        <v>119</v>
      </c>
      <c r="O145" s="6" t="s">
        <v>26</v>
      </c>
      <c r="P145" s="8">
        <v>4.7551239137800003</v>
      </c>
      <c r="Q145" s="8">
        <v>3.9312759543699997E-2</v>
      </c>
      <c r="R145" s="8">
        <v>0.55817691171399997</v>
      </c>
      <c r="S145" s="8">
        <v>76.314906821405458</v>
      </c>
      <c r="T145" s="8">
        <v>126.24238032173909</v>
      </c>
      <c r="U145" s="8">
        <v>467.21325320923791</v>
      </c>
      <c r="V145" s="8">
        <f>1/Q145</f>
        <v>25.437033970825723</v>
      </c>
      <c r="W145" s="8">
        <v>73.404915904700005</v>
      </c>
      <c r="X145" s="8">
        <v>0.24469075371599999</v>
      </c>
      <c r="Y145" s="8">
        <v>-15.481900452488702</v>
      </c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3:39" ht="12" x14ac:dyDescent="0.3">
      <c r="N146" s="6" t="s">
        <v>119</v>
      </c>
      <c r="O146" s="6" t="s">
        <v>26</v>
      </c>
      <c r="P146" s="8">
        <v>1.5897068667900001</v>
      </c>
      <c r="Q146" s="7">
        <f>AVERAGE(Q141:Q145,Q147:Q151)*0.9</f>
        <v>4.1718924395601431E-2</v>
      </c>
      <c r="R146" s="8">
        <v>0.84931131291499995</v>
      </c>
      <c r="S146" s="8">
        <v>73.184403261362007</v>
      </c>
      <c r="T146" s="8">
        <v>100.51926134969943</v>
      </c>
      <c r="U146" s="8">
        <v>302.06509252410626</v>
      </c>
      <c r="V146" s="8">
        <f>1/Q146</f>
        <v>23.969937252395543</v>
      </c>
      <c r="W146" s="8">
        <v>86.529114161699994</v>
      </c>
      <c r="X146" s="8">
        <v>0.39084165133999998</v>
      </c>
      <c r="Y146" s="8">
        <v>0.82389549571754261</v>
      </c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3:39" ht="12" x14ac:dyDescent="0.3">
      <c r="N147" s="6" t="s">
        <v>119</v>
      </c>
      <c r="O147" s="6" t="s">
        <v>26</v>
      </c>
      <c r="P147" s="8">
        <f>AVERAGE(P148:P151,P140:P146)*0.85</f>
        <v>1.7607275150879795</v>
      </c>
      <c r="Q147" s="8">
        <v>5.13930820187E-2</v>
      </c>
      <c r="R147" s="8">
        <v>0.49531839652300003</v>
      </c>
      <c r="S147" s="8">
        <v>128.55326250460172</v>
      </c>
      <c r="T147" s="8">
        <v>221.76107909081253</v>
      </c>
      <c r="U147" s="8">
        <v>849.16805028136139</v>
      </c>
      <c r="V147" s="8">
        <f>1/Q147</f>
        <v>19.457871774184273</v>
      </c>
      <c r="W147" s="8">
        <v>64.621370108999997</v>
      </c>
      <c r="X147" s="8">
        <v>0.27311358994399998</v>
      </c>
      <c r="Y147" s="8">
        <v>0.82389549571754261</v>
      </c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3:39" ht="12" x14ac:dyDescent="0.3">
      <c r="N148" s="6" t="s">
        <v>119</v>
      </c>
      <c r="O148" s="6" t="s">
        <v>26</v>
      </c>
      <c r="P148" s="8">
        <v>2.3945743791699998</v>
      </c>
      <c r="Q148" s="8">
        <v>4.7711512720000002E-2</v>
      </c>
      <c r="R148" s="8">
        <v>0.72870842361499999</v>
      </c>
      <c r="S148" s="8">
        <v>39.09918504556677</v>
      </c>
      <c r="T148" s="8">
        <v>59.004885999928852</v>
      </c>
      <c r="U148" s="8">
        <v>199.83635385826506</v>
      </c>
      <c r="V148" s="8">
        <f>1/Q148</f>
        <v>20.959301916680037</v>
      </c>
      <c r="W148" s="8">
        <v>32.425956931100004</v>
      </c>
      <c r="X148" s="8">
        <v>0.23228517649899999</v>
      </c>
      <c r="Y148" s="8">
        <v>0.82389549571754261</v>
      </c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3:39" ht="12" x14ac:dyDescent="0.3">
      <c r="N149" s="6" t="s">
        <v>119</v>
      </c>
      <c r="O149" s="6" t="s">
        <v>26</v>
      </c>
      <c r="P149" s="8">
        <v>2.3802723534600001</v>
      </c>
      <c r="Q149" s="8">
        <v>3.6843873235199998E-2</v>
      </c>
      <c r="R149" s="8">
        <v>0.70361415696100005</v>
      </c>
      <c r="S149" s="8">
        <v>49.842251426219619</v>
      </c>
      <c r="T149" s="8">
        <v>75.512210908532325</v>
      </c>
      <c r="U149" s="8">
        <v>256.83315148370417</v>
      </c>
      <c r="V149" s="8">
        <f>1/Q149</f>
        <v>27.141554679018309</v>
      </c>
      <c r="W149" s="8">
        <v>41.134844358099997</v>
      </c>
      <c r="X149" s="8">
        <v>0.20702285264500001</v>
      </c>
      <c r="Y149" s="8">
        <v>0.82389549571754261</v>
      </c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3:39" ht="12" x14ac:dyDescent="0.3">
      <c r="N150" s="6" t="s">
        <v>119</v>
      </c>
      <c r="O150" s="6" t="s">
        <v>26</v>
      </c>
      <c r="P150" s="8">
        <v>1.16534539104</v>
      </c>
      <c r="Q150" s="8" t="s">
        <v>15</v>
      </c>
      <c r="R150" s="8">
        <v>0.84455990473800002</v>
      </c>
      <c r="S150" s="8">
        <v>0.19894822182250785</v>
      </c>
      <c r="T150" s="8">
        <v>0.25465633546671534</v>
      </c>
      <c r="U150" s="8">
        <v>0.67900412005791566</v>
      </c>
      <c r="V150" s="8" t="s">
        <v>15</v>
      </c>
      <c r="W150" s="8">
        <f>AVERAGE(W140:W149)*1.215</f>
        <v>74.816660232126566</v>
      </c>
      <c r="X150" s="8">
        <v>0.26932479100500001</v>
      </c>
      <c r="Y150" s="8">
        <v>0.67543354208049677</v>
      </c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3:39" ht="12" x14ac:dyDescent="0.3">
      <c r="N151" s="6" t="s">
        <v>119</v>
      </c>
      <c r="O151" s="6" t="s">
        <v>26</v>
      </c>
      <c r="P151" s="8">
        <v>2.17905456076</v>
      </c>
      <c r="Q151" s="8">
        <v>4.8069078478499998E-2</v>
      </c>
      <c r="R151" s="8">
        <v>0.61195462140800005</v>
      </c>
      <c r="S151" s="8">
        <v>34.40139647066222</v>
      </c>
      <c r="T151" s="8">
        <v>52.469437038230481</v>
      </c>
      <c r="U151" s="8">
        <v>179.74501119277852</v>
      </c>
      <c r="V151" s="8">
        <f>1/Q151</f>
        <v>20.803394440924698</v>
      </c>
      <c r="W151" s="8" t="s">
        <v>15</v>
      </c>
      <c r="X151" s="8">
        <v>0.19257454040309999</v>
      </c>
      <c r="Y151" s="8">
        <v>0.73574188066902058</v>
      </c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3:39" ht="12" x14ac:dyDescent="0.3">
      <c r="M152" s="9" t="s">
        <v>362</v>
      </c>
      <c r="N152" s="10" t="s">
        <v>119</v>
      </c>
      <c r="O152" s="10" t="s">
        <v>26</v>
      </c>
      <c r="P152" s="11">
        <f>AVERAGE(P140:P144,P146:P151)</f>
        <v>1.799226280971076</v>
      </c>
      <c r="Q152" s="11">
        <f>AVERAGE(Q141:Q151)</f>
        <v>4.577493093406268E-2</v>
      </c>
      <c r="R152" s="11">
        <f>AVERAGE(R140:R151)</f>
        <v>0.74053658126483324</v>
      </c>
      <c r="S152" s="11">
        <f>AVERAGE(S140:S151)</f>
        <v>53.934791821159429</v>
      </c>
      <c r="T152" s="11">
        <f>AVERAGE(T140:T151)</f>
        <v>82.905114207144322</v>
      </c>
      <c r="U152" s="11">
        <f>AVERAGE(U140:U151)</f>
        <v>284.85493418531343</v>
      </c>
      <c r="V152" s="11">
        <f>AVERAGE(V141:V151)</f>
        <v>22.269396879506864</v>
      </c>
      <c r="W152" s="11">
        <f>AVERAGE(W141:W151)</f>
        <v>61.629391317340819</v>
      </c>
      <c r="X152" s="11">
        <f>AVERAGE(X140:X151)</f>
        <v>0.29673547584367499</v>
      </c>
      <c r="Y152" s="11">
        <f>AVERAGE(Y140:Y151)</f>
        <v>-0.56551341447293491</v>
      </c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3:39" ht="12" x14ac:dyDescent="0.3">
      <c r="M153" s="9" t="s">
        <v>363</v>
      </c>
      <c r="N153" s="12" t="s">
        <v>119</v>
      </c>
      <c r="O153" s="12" t="s">
        <v>26</v>
      </c>
      <c r="P153" s="13">
        <f>_xlfn.STDEV.S(P140:P144,P146:P151)</f>
        <v>0.45353228036815274</v>
      </c>
      <c r="Q153" s="13">
        <f>_xlfn.STDEV.S(Q141:Q151)</f>
        <v>6.878081616624317E-3</v>
      </c>
      <c r="R153" s="13">
        <f>_xlfn.STDEV.S(R140:R151)</f>
        <v>0.3017811452979971</v>
      </c>
      <c r="S153" s="13">
        <f>_xlfn.STDEV.S(S140:S151)</f>
        <v>44.200092866864807</v>
      </c>
      <c r="T153" s="13">
        <f>_xlfn.STDEV.S(T140:T151)</f>
        <v>69.668987710678763</v>
      </c>
      <c r="U153" s="13">
        <f>_xlfn.STDEV.S(U140:U151)</f>
        <v>254.01664838210857</v>
      </c>
      <c r="V153" s="13">
        <f>_xlfn.STDEV.S(V141:V151)</f>
        <v>3.2521956522031772</v>
      </c>
      <c r="W153" s="13">
        <f>_xlfn.STDEV.S(W141:W151)</f>
        <v>20.767179249601586</v>
      </c>
      <c r="X153" s="13">
        <f>_xlfn.STDEV.S(X140:X151)</f>
        <v>8.6607561303740227E-2</v>
      </c>
      <c r="Y153" s="13">
        <f>_xlfn.STDEV.S(Y140:Y151)</f>
        <v>4.6976963426883636</v>
      </c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3:39" ht="12" x14ac:dyDescent="0.3">
      <c r="M154" s="14" t="s">
        <v>364</v>
      </c>
      <c r="N154" s="15" t="s">
        <v>119</v>
      </c>
      <c r="O154" s="15" t="s">
        <v>26</v>
      </c>
      <c r="P154" s="16">
        <f>P153/P152</f>
        <v>0.25207072904880695</v>
      </c>
      <c r="Q154" s="16">
        <f>Q153/SQRT(COUNT(Q141:Q151))</f>
        <v>2.4317690763347929E-3</v>
      </c>
      <c r="R154" s="16">
        <f>R153/SQRT(COUNT(R147:R151))</f>
        <v>0.1349606310428125</v>
      </c>
      <c r="S154" s="16">
        <f>S153/SQRT(COUNT(S147:S151))</f>
        <v>19.766882452422653</v>
      </c>
      <c r="T154" s="16">
        <f>T153/SQRT(COUNT(T147:T151))</f>
        <v>31.15691848893503</v>
      </c>
      <c r="U154" s="16">
        <f>U153/SQRT(COUNT(U147:U151))</f>
        <v>113.59969863981134</v>
      </c>
      <c r="V154" s="16">
        <f>V153/SQRT(COUNT(V141:V151))</f>
        <v>1.1498247997091364</v>
      </c>
      <c r="W154" s="16">
        <f>W153/SQRT(COUNT(W141:W151))</f>
        <v>7.3423066367549188</v>
      </c>
      <c r="X154" s="16">
        <f>X153/SQRT(COUNT(X147:X151))</f>
        <v>3.8732078888128692E-2</v>
      </c>
      <c r="Y154" s="16">
        <f>Y153/SQRT(COUNT(Y147:Y151))</f>
        <v>2.1008736719806653</v>
      </c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3:39" ht="12" x14ac:dyDescent="0.3">
      <c r="N155" s="6" t="s">
        <v>119</v>
      </c>
      <c r="O155" s="6" t="s">
        <v>35</v>
      </c>
      <c r="P155" s="8">
        <v>1.16534539104</v>
      </c>
      <c r="Q155" s="8" t="s">
        <v>15</v>
      </c>
      <c r="R155" s="8">
        <v>0.84455990473800002</v>
      </c>
      <c r="S155" s="8">
        <v>0.19894822182250785</v>
      </c>
      <c r="T155" s="8">
        <v>0.25465633546671534</v>
      </c>
      <c r="U155" s="8">
        <v>0.67900412005791566</v>
      </c>
      <c r="V155" s="8" t="s">
        <v>15</v>
      </c>
      <c r="W155" s="8">
        <v>58.939995361199998</v>
      </c>
      <c r="X155" s="8">
        <v>2.6932479100499999E-2</v>
      </c>
      <c r="Y155" s="8">
        <v>0.67543354208049677</v>
      </c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3:39" ht="12" x14ac:dyDescent="0.3">
      <c r="N156" s="6" t="s">
        <v>119</v>
      </c>
      <c r="O156" s="6" t="s">
        <v>35</v>
      </c>
      <c r="P156" s="8">
        <f>AVERAGE(P157:P159,P155)*0.85</f>
        <v>0.97364463965324999</v>
      </c>
      <c r="Q156" s="8">
        <v>4.8069078478499998E-2</v>
      </c>
      <c r="R156" s="8">
        <v>0.61195462140800005</v>
      </c>
      <c r="S156" s="8">
        <v>34.40139647066222</v>
      </c>
      <c r="T156" s="8">
        <v>52.469437038230481</v>
      </c>
      <c r="U156" s="8">
        <v>179.74501119277852</v>
      </c>
      <c r="V156" s="8">
        <f>1/Q156</f>
        <v>20.803394440924698</v>
      </c>
      <c r="W156" s="8" t="s">
        <v>15</v>
      </c>
      <c r="X156" s="8">
        <v>9.2574540403099995E-2</v>
      </c>
      <c r="Y156" s="8">
        <v>0.73574188066902058</v>
      </c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3:39" ht="12" x14ac:dyDescent="0.3">
      <c r="N157" s="6" t="s">
        <v>119</v>
      </c>
      <c r="O157" s="6" t="s">
        <v>35</v>
      </c>
      <c r="P157" s="8">
        <v>1.0145272509400001</v>
      </c>
      <c r="Q157" s="18">
        <v>4.5690784785000001E-2</v>
      </c>
      <c r="R157" s="8">
        <v>0.93122296068099997</v>
      </c>
      <c r="S157" s="8">
        <v>4.8120067033196552E-2</v>
      </c>
      <c r="T157" s="8">
        <v>5.6879160245618392E-2</v>
      </c>
      <c r="U157" s="8">
        <v>0.12574633988260431</v>
      </c>
      <c r="V157" s="8">
        <f>1/Q157</f>
        <v>21.886251345988999</v>
      </c>
      <c r="W157" s="8">
        <v>54.0529273864</v>
      </c>
      <c r="X157" s="8">
        <v>0.106244790982</v>
      </c>
      <c r="Y157" s="8">
        <v>0.48656579931831412</v>
      </c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3:39" ht="12" x14ac:dyDescent="0.3">
      <c r="N158" s="6" t="s">
        <v>119</v>
      </c>
      <c r="O158" s="6" t="s">
        <v>35</v>
      </c>
      <c r="P158" s="8">
        <v>1.37091494563</v>
      </c>
      <c r="Q158" s="7">
        <f>AVERAGE(Q155:Q157)*0.9</f>
        <v>4.2191938468575003E-2</v>
      </c>
      <c r="R158" s="8">
        <v>0.67244464445700003</v>
      </c>
      <c r="S158" s="8">
        <v>0.17042651380897847</v>
      </c>
      <c r="T158" s="8">
        <v>0.23805105411325664</v>
      </c>
      <c r="U158" s="8">
        <v>0.73284456754694793</v>
      </c>
      <c r="V158" s="8">
        <f>1/Q158</f>
        <v>23.701210143373963</v>
      </c>
      <c r="W158" s="8">
        <v>65.199119557000003</v>
      </c>
      <c r="X158" s="8">
        <v>4.45719051718E-2</v>
      </c>
      <c r="Y158" s="8">
        <v>0.72616413913457567</v>
      </c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3:39" ht="12" x14ac:dyDescent="0.3">
      <c r="N159" s="6" t="s">
        <v>119</v>
      </c>
      <c r="O159" s="6" t="s">
        <v>35</v>
      </c>
      <c r="P159" s="8">
        <v>1.0310695401700001</v>
      </c>
      <c r="Q159" s="8" t="s">
        <v>15</v>
      </c>
      <c r="R159" s="8">
        <v>0.91687794352999996</v>
      </c>
      <c r="S159" s="8">
        <v>3.1856947355933307E-2</v>
      </c>
      <c r="T159" s="8">
        <v>3.8188471791629396E-2</v>
      </c>
      <c r="U159" s="8">
        <v>8.7740191459023981E-2</v>
      </c>
      <c r="V159" s="8" t="s">
        <v>15</v>
      </c>
      <c r="W159" s="8">
        <f>AVERAGE(W155:W158)*0.85</f>
        <v>50.487745319636673</v>
      </c>
      <c r="X159" s="8">
        <v>7.8052288321999994E-2</v>
      </c>
      <c r="Y159" s="8">
        <v>0.63540094529760416</v>
      </c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3:39" ht="12" x14ac:dyDescent="0.3">
      <c r="M160" s="9" t="s">
        <v>362</v>
      </c>
      <c r="N160" s="10" t="s">
        <v>119</v>
      </c>
      <c r="O160" s="10" t="s">
        <v>35</v>
      </c>
      <c r="P160" s="11">
        <f>AVERAGE(P159,P155:P157)</f>
        <v>1.0461467054508127</v>
      </c>
      <c r="Q160" s="11">
        <f t="shared" ref="Q160:Y160" si="31">AVERAGE(Q155:Q159)</f>
        <v>4.5317267244024996E-2</v>
      </c>
      <c r="R160" s="11">
        <f t="shared" si="31"/>
        <v>0.7954120149627999</v>
      </c>
      <c r="S160" s="11">
        <f t="shared" si="31"/>
        <v>6.9701496441365665</v>
      </c>
      <c r="T160" s="11">
        <f t="shared" si="31"/>
        <v>10.61144241196954</v>
      </c>
      <c r="U160" s="11">
        <f t="shared" si="31"/>
        <v>36.274069282345003</v>
      </c>
      <c r="V160" s="11">
        <f t="shared" si="31"/>
        <v>22.130285310095889</v>
      </c>
      <c r="W160" s="11">
        <f t="shared" si="31"/>
        <v>57.169946906059174</v>
      </c>
      <c r="X160" s="11">
        <f t="shared" si="31"/>
        <v>6.9675200795879993E-2</v>
      </c>
      <c r="Y160" s="11">
        <f t="shared" si="31"/>
        <v>0.65186126130000233</v>
      </c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3:39" ht="12" x14ac:dyDescent="0.3">
      <c r="M161" s="9" t="s">
        <v>363</v>
      </c>
      <c r="N161" s="12" t="s">
        <v>119</v>
      </c>
      <c r="O161" s="12" t="s">
        <v>35</v>
      </c>
      <c r="P161" s="13">
        <f>_xlfn.STDEV.S(P159,P155:P157)</f>
        <v>8.3050159557483363E-2</v>
      </c>
      <c r="Q161" s="13">
        <f t="shared" ref="Q161:Y161" si="32">_xlfn.STDEV.S(Q155:Q159)</f>
        <v>2.9563203799871382E-3</v>
      </c>
      <c r="R161" s="13">
        <f t="shared" si="32"/>
        <v>0.14525123864183678</v>
      </c>
      <c r="S161" s="13">
        <f t="shared" si="32"/>
        <v>15.334708220413969</v>
      </c>
      <c r="T161" s="13">
        <f t="shared" si="32"/>
        <v>23.399543182228516</v>
      </c>
      <c r="U161" s="13">
        <f t="shared" si="32"/>
        <v>80.203257657386771</v>
      </c>
      <c r="V161" s="13">
        <f t="shared" si="32"/>
        <v>1.4642398686925147</v>
      </c>
      <c r="W161" s="13">
        <f t="shared" si="32"/>
        <v>6.3762139685889441</v>
      </c>
      <c r="X161" s="13">
        <f t="shared" si="32"/>
        <v>3.3124786736545543E-2</v>
      </c>
      <c r="Y161" s="13">
        <f t="shared" si="32"/>
        <v>0.10087871447444015</v>
      </c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3:39" ht="12" x14ac:dyDescent="0.3">
      <c r="M162" s="14" t="s">
        <v>364</v>
      </c>
      <c r="N162" s="15" t="s">
        <v>119</v>
      </c>
      <c r="O162" s="15" t="s">
        <v>35</v>
      </c>
      <c r="P162" s="16">
        <f>P161/P160</f>
        <v>7.9386723797686506E-2</v>
      </c>
      <c r="Q162" s="16">
        <f t="shared" ref="Q162:Y162" si="33">Q161/SQRT(COUNT(Q155:Q159))</f>
        <v>1.7068323671963512E-3</v>
      </c>
      <c r="R162" s="16">
        <f t="shared" si="33"/>
        <v>6.4958328683838246E-2</v>
      </c>
      <c r="S162" s="16">
        <f t="shared" si="33"/>
        <v>6.857889999194092</v>
      </c>
      <c r="T162" s="16">
        <f t="shared" si="33"/>
        <v>10.464593839580942</v>
      </c>
      <c r="U162" s="16">
        <f t="shared" si="33"/>
        <v>35.867987227769468</v>
      </c>
      <c r="V162" s="16">
        <f t="shared" si="33"/>
        <v>0.84537928234780568</v>
      </c>
      <c r="W162" s="16">
        <f t="shared" si="33"/>
        <v>3.188106984294472</v>
      </c>
      <c r="X162" s="16">
        <f t="shared" si="33"/>
        <v>1.4813854976619849E-2</v>
      </c>
      <c r="Y162" s="16">
        <f t="shared" si="33"/>
        <v>4.5114332609528025E-2</v>
      </c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3:39" ht="12" x14ac:dyDescent="0.3">
      <c r="N163" s="6" t="s">
        <v>144</v>
      </c>
      <c r="O163" s="6" t="s">
        <v>17</v>
      </c>
      <c r="P163" s="8">
        <v>16.163128724</v>
      </c>
      <c r="Q163" s="8">
        <v>6.0502949481399997E-2</v>
      </c>
      <c r="R163" s="8">
        <v>0.56786160590400003</v>
      </c>
      <c r="S163" s="8">
        <v>153.07746457616358</v>
      </c>
      <c r="T163" s="8">
        <v>265.36717345110742</v>
      </c>
      <c r="U163" s="8">
        <v>1019.9886400845858</v>
      </c>
      <c r="V163" s="8">
        <f>1/Q163</f>
        <v>16.528119844924635</v>
      </c>
      <c r="W163" s="8">
        <v>195.45522064299999</v>
      </c>
      <c r="X163" s="8">
        <v>0.299950444521</v>
      </c>
      <c r="Y163" s="8">
        <v>0.82595099999999999</v>
      </c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3:39" ht="12" x14ac:dyDescent="0.3">
      <c r="N164" s="6" t="s">
        <v>144</v>
      </c>
      <c r="O164" s="6" t="s">
        <v>17</v>
      </c>
      <c r="P164" s="8">
        <v>13.4663586252</v>
      </c>
      <c r="Q164" s="8">
        <v>4.8264501773900001E-2</v>
      </c>
      <c r="R164" s="8">
        <v>0.49919316718599999</v>
      </c>
      <c r="S164" s="8">
        <v>160.24578516847987</v>
      </c>
      <c r="T164" s="8">
        <v>277.47235459058834</v>
      </c>
      <c r="U164" s="8">
        <v>1065.572732588525</v>
      </c>
      <c r="V164" s="8">
        <f>1/Q164</f>
        <v>20.719161355577693</v>
      </c>
      <c r="W164" s="8">
        <v>212.78581039299999</v>
      </c>
      <c r="X164" s="8">
        <v>0.26535434244299999</v>
      </c>
      <c r="Y164" s="8">
        <v>0.82595099999999999</v>
      </c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3:39" ht="12" x14ac:dyDescent="0.3">
      <c r="N165" s="6" t="s">
        <v>144</v>
      </c>
      <c r="O165" s="6" t="s">
        <v>17</v>
      </c>
      <c r="P165" s="8">
        <v>10.846049814400001</v>
      </c>
      <c r="Q165" s="8">
        <v>5.0176379941099997E-2</v>
      </c>
      <c r="R165" s="8">
        <v>0.50250788067200003</v>
      </c>
      <c r="S165" s="8">
        <v>125.5206855858503</v>
      </c>
      <c r="T165" s="8">
        <v>216.1526000646605</v>
      </c>
      <c r="U165" s="8">
        <v>826.57532338579449</v>
      </c>
      <c r="V165" s="8">
        <f>1/Q165</f>
        <v>19.929696027769623</v>
      </c>
      <c r="W165" s="8">
        <v>149.47829556900001</v>
      </c>
      <c r="X165" s="8">
        <v>0.27625907504800001</v>
      </c>
      <c r="Y165" s="8">
        <v>0.82595099999999999</v>
      </c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3:39" ht="12" x14ac:dyDescent="0.3">
      <c r="N166" s="6" t="s">
        <v>144</v>
      </c>
      <c r="O166" s="6" t="s">
        <v>17</v>
      </c>
      <c r="P166" s="8">
        <f>AVERAGE(P163:P165)*0.85</f>
        <v>11.468068863019999</v>
      </c>
      <c r="Q166" s="8">
        <v>4.4902681544199997E-2</v>
      </c>
      <c r="R166" s="8">
        <v>0.68075708152900005</v>
      </c>
      <c r="S166" s="8">
        <v>71.747650444870686</v>
      </c>
      <c r="T166" s="8">
        <v>117.49330395985889</v>
      </c>
      <c r="U166" s="8">
        <v>431.0444606328345</v>
      </c>
      <c r="V166" s="8">
        <f>1/Q166</f>
        <v>22.270384877028981</v>
      </c>
      <c r="W166" s="8">
        <f>AVERAGE(W163:W165)*0.9</f>
        <v>167.3157979815</v>
      </c>
      <c r="X166" s="8">
        <v>0.233450714404</v>
      </c>
      <c r="Y166" s="8">
        <v>0.82595099999999999</v>
      </c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3:39" ht="12" x14ac:dyDescent="0.3">
      <c r="M167" s="9" t="s">
        <v>362</v>
      </c>
      <c r="N167" s="10" t="s">
        <v>144</v>
      </c>
      <c r="O167" s="10" t="s">
        <v>17</v>
      </c>
      <c r="P167" s="11">
        <f t="shared" ref="P167:Y167" si="34">AVERAGE(P163:P166)</f>
        <v>12.985901506654999</v>
      </c>
      <c r="Q167" s="11">
        <f t="shared" si="34"/>
        <v>5.0961628185149994E-2</v>
      </c>
      <c r="R167" s="11">
        <f t="shared" si="34"/>
        <v>0.56257993382274996</v>
      </c>
      <c r="S167" s="11">
        <f t="shared" si="34"/>
        <v>127.64789644384112</v>
      </c>
      <c r="T167" s="11">
        <f t="shared" si="34"/>
        <v>219.12135801655378</v>
      </c>
      <c r="U167" s="11">
        <f t="shared" si="34"/>
        <v>835.79528917293499</v>
      </c>
      <c r="V167" s="11">
        <f t="shared" si="34"/>
        <v>19.861840526325231</v>
      </c>
      <c r="W167" s="11">
        <f t="shared" si="34"/>
        <v>181.25878114662498</v>
      </c>
      <c r="X167" s="11">
        <f t="shared" si="34"/>
        <v>0.26875364410400004</v>
      </c>
      <c r="Y167" s="11">
        <f t="shared" si="34"/>
        <v>0.82595099999999999</v>
      </c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3:39" ht="12" x14ac:dyDescent="0.3">
      <c r="M168" s="9" t="s">
        <v>363</v>
      </c>
      <c r="N168" s="12" t="s">
        <v>144</v>
      </c>
      <c r="O168" s="12" t="s">
        <v>17</v>
      </c>
      <c r="P168" s="13">
        <f t="shared" ref="P168:Y168" si="35">_xlfn.STDEV.S(P163:P166)</f>
        <v>2.3950221315838349</v>
      </c>
      <c r="Q168" s="13">
        <f t="shared" si="35"/>
        <v>6.7240551296371487E-3</v>
      </c>
      <c r="R168" s="13">
        <f t="shared" si="35"/>
        <v>8.4892614626494139E-2</v>
      </c>
      <c r="S168" s="13">
        <f t="shared" si="35"/>
        <v>40.160709711026911</v>
      </c>
      <c r="T168" s="13">
        <f t="shared" si="35"/>
        <v>72.756647214114182</v>
      </c>
      <c r="U168" s="13">
        <f t="shared" si="35"/>
        <v>289.04042681239855</v>
      </c>
      <c r="V168" s="13">
        <f t="shared" si="35"/>
        <v>2.4258594933378297</v>
      </c>
      <c r="W168" s="13">
        <f t="shared" si="35"/>
        <v>28.283673208930146</v>
      </c>
      <c r="X168" s="13">
        <f t="shared" si="35"/>
        <v>2.7612943505410065E-2</v>
      </c>
      <c r="Y168" s="13">
        <f t="shared" si="35"/>
        <v>0</v>
      </c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3:39" ht="12" x14ac:dyDescent="0.3">
      <c r="M169" s="14" t="s">
        <v>364</v>
      </c>
      <c r="N169" s="15" t="s">
        <v>144</v>
      </c>
      <c r="O169" s="15" t="s">
        <v>17</v>
      </c>
      <c r="P169" s="16">
        <f>P168/P167</f>
        <v>0.18443248859976621</v>
      </c>
      <c r="Q169" s="16">
        <f>Q168/SQRT(COUNT(Q163:Q166))</f>
        <v>3.3620275648185744E-3</v>
      </c>
      <c r="R169" s="16">
        <f>R168/SQRT(COUNT(R162:R166))</f>
        <v>3.7965131418506763E-2</v>
      </c>
      <c r="S169" s="16">
        <f>S168/SQRT(COUNT(S162:S166))</f>
        <v>17.960415387698422</v>
      </c>
      <c r="T169" s="16">
        <f>T168/SQRT(COUNT(T162:T166))</f>
        <v>32.537761797145997</v>
      </c>
      <c r="U169" s="16">
        <f>U168/SQRT(COUNT(U162:U166))</f>
        <v>129.26280851961519</v>
      </c>
      <c r="V169" s="16">
        <f>V168/SQRT(COUNT(V163:V166))</f>
        <v>1.2129297466689148</v>
      </c>
      <c r="W169" s="16">
        <f>W168/SQRT(COUNT(W163:W166))</f>
        <v>14.141836604465073</v>
      </c>
      <c r="X169" s="16">
        <f>X168/SQRT(COUNT(X162:X166))</f>
        <v>1.2348883747391647E-2</v>
      </c>
      <c r="Y169" s="16">
        <f>Y168/SQRT(COUNT(Y162:Y166))</f>
        <v>0</v>
      </c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3:39" ht="12" x14ac:dyDescent="0.3">
      <c r="N170" s="6" t="s">
        <v>144</v>
      </c>
      <c r="O170" s="6" t="s">
        <v>26</v>
      </c>
      <c r="P170" s="8">
        <v>7.15382402979</v>
      </c>
      <c r="Q170" s="18">
        <v>5.3751392562899999E-2</v>
      </c>
      <c r="R170" s="8">
        <v>0.92856508348</v>
      </c>
      <c r="S170" s="8">
        <v>135.65221440546975</v>
      </c>
      <c r="T170" s="8">
        <v>222.90556637641316</v>
      </c>
      <c r="U170" s="8">
        <v>820.2182434811026</v>
      </c>
      <c r="V170" s="8">
        <f>1/Q170</f>
        <v>18.604169163241636</v>
      </c>
      <c r="W170" s="8">
        <v>193.739135046</v>
      </c>
      <c r="X170" s="8">
        <v>0.19360467815900001</v>
      </c>
      <c r="Y170" s="8">
        <v>0.82595099999999999</v>
      </c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3:39" ht="12" x14ac:dyDescent="0.3">
      <c r="N171" s="6" t="s">
        <v>144</v>
      </c>
      <c r="O171" s="6" t="s">
        <v>26</v>
      </c>
      <c r="P171" s="8">
        <f>AVERAGE(P172:P178)*1.2</f>
        <v>3.3880429911300003</v>
      </c>
      <c r="Q171" s="8">
        <v>6.1758149177299999E-2</v>
      </c>
      <c r="R171" s="8">
        <v>0.44025378161599998</v>
      </c>
      <c r="S171" s="8">
        <v>89.526293945178381</v>
      </c>
      <c r="T171" s="8">
        <v>154.17747092048185</v>
      </c>
      <c r="U171" s="8">
        <v>589.60669427359232</v>
      </c>
      <c r="V171" s="8">
        <f>1/Q171</f>
        <v>16.192195092005168</v>
      </c>
      <c r="W171" s="8">
        <v>71.425758161700003</v>
      </c>
      <c r="X171" s="8">
        <v>0.37395850655599999</v>
      </c>
      <c r="Y171" s="8">
        <v>0.82595099999999999</v>
      </c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3:39" ht="12" x14ac:dyDescent="0.3">
      <c r="N172" s="6" t="s">
        <v>144</v>
      </c>
      <c r="O172" s="6" t="s">
        <v>26</v>
      </c>
      <c r="P172" s="8">
        <f>AVERAGE(P173:P178)</f>
        <v>2.8233691592749999</v>
      </c>
      <c r="Q172" s="7">
        <f>AVERAGE(Q170:Q171,Q173:Q178)*0.9</f>
        <v>5.6004511640615998E-2</v>
      </c>
      <c r="R172" s="8">
        <v>1.18002869415</v>
      </c>
      <c r="S172" s="8">
        <v>124.77971507400544</v>
      </c>
      <c r="T172" s="8">
        <v>197.44103412168039</v>
      </c>
      <c r="U172" s="8">
        <v>701.9050305558643</v>
      </c>
      <c r="V172" s="8">
        <f>1/Q172</f>
        <v>17.855704312128537</v>
      </c>
      <c r="W172" s="8">
        <v>149.68285380200001</v>
      </c>
      <c r="X172" s="8">
        <v>0.190661666471</v>
      </c>
      <c r="Y172" s="8">
        <v>0.82595099999999999</v>
      </c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3:39" ht="12" x14ac:dyDescent="0.3">
      <c r="N173" s="6" t="s">
        <v>144</v>
      </c>
      <c r="O173" s="6" t="s">
        <v>26</v>
      </c>
      <c r="P173" s="8">
        <v>5.5224615251299998</v>
      </c>
      <c r="Q173" s="8">
        <v>5.8732635413700003E-2</v>
      </c>
      <c r="R173" s="8">
        <v>1.8024487753</v>
      </c>
      <c r="S173" s="8">
        <v>75.079856625437216</v>
      </c>
      <c r="T173" s="8">
        <v>112.20158589094764</v>
      </c>
      <c r="U173" s="8">
        <v>375.90460989731582</v>
      </c>
      <c r="V173" s="8">
        <f>1/Q173</f>
        <v>17.026309018081957</v>
      </c>
      <c r="W173" s="8">
        <f>AVERAGE(W174:W176,W171:W172)*0.85</f>
        <v>114.96152981274834</v>
      </c>
      <c r="X173" s="8">
        <v>0.34795417464799999</v>
      </c>
      <c r="Y173" s="8">
        <v>0.82595149367707255</v>
      </c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3:39" ht="12" x14ac:dyDescent="0.3">
      <c r="N174" s="6" t="s">
        <v>144</v>
      </c>
      <c r="O174" s="6" t="s">
        <v>26</v>
      </c>
      <c r="P174" s="8">
        <v>1.04524145502</v>
      </c>
      <c r="Q174" s="8" t="s">
        <v>15</v>
      </c>
      <c r="R174" s="8">
        <v>0.94253358412900001</v>
      </c>
      <c r="S174" s="8">
        <v>0.10836799745644325</v>
      </c>
      <c r="T174" s="8">
        <v>0.12913949770101282</v>
      </c>
      <c r="U174" s="8">
        <v>0.29202900058548997</v>
      </c>
      <c r="V174" s="8" t="s">
        <v>15</v>
      </c>
      <c r="W174" s="8" t="s">
        <v>15</v>
      </c>
      <c r="X174" s="8">
        <v>0.29476725995000003</v>
      </c>
      <c r="Y174" s="8">
        <v>0.72057497542619253</v>
      </c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3:39" ht="12" x14ac:dyDescent="0.3">
      <c r="N175" s="6" t="s">
        <v>144</v>
      </c>
      <c r="O175" s="6" t="s">
        <v>26</v>
      </c>
      <c r="P175" s="8">
        <v>6.3870814493600001</v>
      </c>
      <c r="Q175" s="8">
        <v>6.2763053381300005E-2</v>
      </c>
      <c r="R175" s="8">
        <v>2.0732892600000001</v>
      </c>
      <c r="S175" s="8">
        <v>81.097101202642818</v>
      </c>
      <c r="T175" s="8">
        <v>121.28857735278133</v>
      </c>
      <c r="U175" s="8">
        <v>406.70503903259737</v>
      </c>
      <c r="V175" s="8">
        <f>1/Q175</f>
        <v>15.932940577711694</v>
      </c>
      <c r="W175" s="8" t="s">
        <v>15</v>
      </c>
      <c r="X175" s="8">
        <v>0.29166880981799997</v>
      </c>
      <c r="Y175" s="8">
        <v>0.82595149367707255</v>
      </c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3:39" ht="12" x14ac:dyDescent="0.3">
      <c r="N176" s="6" t="s">
        <v>144</v>
      </c>
      <c r="O176" s="6" t="s">
        <v>26</v>
      </c>
      <c r="P176" s="8">
        <v>1.06076421742</v>
      </c>
      <c r="Q176" s="8" t="s">
        <v>15</v>
      </c>
      <c r="R176" s="8">
        <v>0.93602042686200004</v>
      </c>
      <c r="S176" s="8">
        <v>0.18601582972411046</v>
      </c>
      <c r="T176" s="8">
        <v>0.22368663735142832</v>
      </c>
      <c r="U176" s="8">
        <v>0.51817947305783008</v>
      </c>
      <c r="V176" s="8" t="s">
        <v>15</v>
      </c>
      <c r="W176" s="8">
        <v>184.63796384599999</v>
      </c>
      <c r="X176" s="8">
        <v>0.34448455283899998</v>
      </c>
      <c r="Y176" s="8">
        <v>0.48316238753176655</v>
      </c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3:39" ht="12" x14ac:dyDescent="0.3">
      <c r="N177" s="6" t="s">
        <v>144</v>
      </c>
      <c r="O177" s="6" t="s">
        <v>26</v>
      </c>
      <c r="P177" s="8">
        <v>1.8533299996599999</v>
      </c>
      <c r="Q177" s="8">
        <v>7.4130945246000002E-2</v>
      </c>
      <c r="R177" s="8">
        <v>0.89188337255799999</v>
      </c>
      <c r="S177" s="8">
        <v>23.796808265280323</v>
      </c>
      <c r="T177" s="8">
        <v>33.359737766277917</v>
      </c>
      <c r="U177" s="8">
        <v>103.21493036208273</v>
      </c>
      <c r="V177" s="8">
        <f>1/Q177</f>
        <v>13.48964318047676</v>
      </c>
      <c r="W177" s="8" t="s">
        <v>15</v>
      </c>
      <c r="X177" s="8" t="s">
        <v>15</v>
      </c>
      <c r="Y177" s="8">
        <v>0.82595149367707255</v>
      </c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3:39" ht="12" x14ac:dyDescent="0.3">
      <c r="N178" s="6" t="s">
        <v>144</v>
      </c>
      <c r="O178" s="6" t="s">
        <v>26</v>
      </c>
      <c r="P178" s="8">
        <v>1.0713363090600001</v>
      </c>
      <c r="Q178" s="8" t="s">
        <v>15</v>
      </c>
      <c r="R178" s="8">
        <v>0.928809983108</v>
      </c>
      <c r="S178" s="8">
        <v>0.22556149160195041</v>
      </c>
      <c r="T178" s="8">
        <v>0.27310247621253136</v>
      </c>
      <c r="U178" s="8">
        <v>0.64382737372762455</v>
      </c>
      <c r="V178" s="8" t="s">
        <v>15</v>
      </c>
      <c r="W178" s="8" t="s">
        <v>15</v>
      </c>
      <c r="X178" s="8">
        <v>0.31536407193600002</v>
      </c>
      <c r="Y178" s="8">
        <v>0.67359789068025699</v>
      </c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3:39" ht="12" x14ac:dyDescent="0.3">
      <c r="M179" s="9" t="s">
        <v>362</v>
      </c>
      <c r="N179" s="10" t="s">
        <v>144</v>
      </c>
      <c r="O179" s="10" t="s">
        <v>26</v>
      </c>
      <c r="P179" s="11">
        <f>AVERAGE(P171:P174,P176:P178)</f>
        <v>2.3949350938135714</v>
      </c>
      <c r="Q179" s="11">
        <f t="shared" ref="Q179:Y179" si="36">AVERAGE(Q170:Q178)</f>
        <v>6.1190114570302663E-2</v>
      </c>
      <c r="R179" s="11">
        <f t="shared" si="36"/>
        <v>1.1248703290225557</v>
      </c>
      <c r="S179" s="11">
        <f t="shared" si="36"/>
        <v>58.939103870755162</v>
      </c>
      <c r="T179" s="11">
        <f t="shared" si="36"/>
        <v>93.555544559983034</v>
      </c>
      <c r="U179" s="11">
        <f t="shared" si="36"/>
        <v>333.22317593888067</v>
      </c>
      <c r="V179" s="11">
        <f t="shared" si="36"/>
        <v>16.516826890607625</v>
      </c>
      <c r="W179" s="11">
        <f t="shared" si="36"/>
        <v>142.88944813368965</v>
      </c>
      <c r="X179" s="11">
        <f t="shared" si="36"/>
        <v>0.294057965047125</v>
      </c>
      <c r="Y179" s="11">
        <f t="shared" si="36"/>
        <v>0.75922697051882593</v>
      </c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3:39" ht="12" x14ac:dyDescent="0.3">
      <c r="M180" s="9" t="s">
        <v>363</v>
      </c>
      <c r="N180" s="12" t="s">
        <v>144</v>
      </c>
      <c r="O180" s="12" t="s">
        <v>26</v>
      </c>
      <c r="P180" s="13">
        <f>_xlfn.STDEV.S(P171:P174,P176:P178)</f>
        <v>1.663238572272671</v>
      </c>
      <c r="Q180" s="13">
        <f t="shared" ref="Q180:Y180" si="37">_xlfn.STDEV.S(Q170:Q178)</f>
        <v>7.1906350908370496E-3</v>
      </c>
      <c r="R180" s="13">
        <f t="shared" si="37"/>
        <v>0.50380087663148976</v>
      </c>
      <c r="S180" s="13">
        <f t="shared" si="37"/>
        <v>54.201252511251624</v>
      </c>
      <c r="T180" s="13">
        <f t="shared" si="37"/>
        <v>88.09080189572407</v>
      </c>
      <c r="U180" s="13">
        <f t="shared" si="37"/>
        <v>322.31445876207982</v>
      </c>
      <c r="V180" s="13">
        <f t="shared" si="37"/>
        <v>1.7899336745886378</v>
      </c>
      <c r="W180" s="13">
        <f t="shared" si="37"/>
        <v>50.650289214349662</v>
      </c>
      <c r="X180" s="13">
        <f t="shared" si="37"/>
        <v>6.8737136414941488E-2</v>
      </c>
      <c r="Y180" s="13">
        <f t="shared" si="37"/>
        <v>0.11818986014098251</v>
      </c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</row>
    <row r="181" spans="13:39" ht="12" x14ac:dyDescent="0.3">
      <c r="M181" s="14" t="s">
        <v>364</v>
      </c>
      <c r="N181" s="15" t="s">
        <v>144</v>
      </c>
      <c r="O181" s="15" t="s">
        <v>26</v>
      </c>
      <c r="P181" s="16">
        <f>P180/P179</f>
        <v>0.69448169036773999</v>
      </c>
      <c r="Q181" s="16">
        <f>Q180/SQRT(COUNT(Q170:Q178))</f>
        <v>2.93556448318369E-3</v>
      </c>
      <c r="R181" s="16">
        <f>R180/SQRT(COUNT(R174:R178))</f>
        <v>0.22530660145439926</v>
      </c>
      <c r="S181" s="16">
        <f>S180/SQRT(COUNT(S174:S178))</f>
        <v>24.239537016157961</v>
      </c>
      <c r="T181" s="16">
        <f>T180/SQRT(COUNT(T174:T178))</f>
        <v>39.395404246261272</v>
      </c>
      <c r="U181" s="16">
        <f>U180/SQRT(COUNT(U174:U178))</f>
        <v>144.14340798461262</v>
      </c>
      <c r="V181" s="16">
        <f>V180/SQRT(COUNT(V170:V178))</f>
        <v>0.73073736269451195</v>
      </c>
      <c r="W181" s="16">
        <f>W180/SQRT(COUNT(W170:W178))</f>
        <v>22.651497952662051</v>
      </c>
      <c r="X181" s="16">
        <f>X180/SQRT(COUNT(X174:X178))</f>
        <v>3.4368568207470744E-2</v>
      </c>
      <c r="Y181" s="16">
        <f>Y180/SQRT(COUNT(Y174:Y178))</f>
        <v>5.2856112305285953E-2</v>
      </c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3:39" ht="12" x14ac:dyDescent="0.3">
      <c r="N182" s="6" t="s">
        <v>144</v>
      </c>
      <c r="O182" s="6" t="s">
        <v>35</v>
      </c>
      <c r="P182" s="8">
        <v>1.06076421742</v>
      </c>
      <c r="Q182" s="8" t="s">
        <v>15</v>
      </c>
      <c r="R182" s="8">
        <v>0.93602042686200004</v>
      </c>
      <c r="S182" s="8">
        <v>0.18601582972411046</v>
      </c>
      <c r="T182" s="8">
        <v>0.22368663735142832</v>
      </c>
      <c r="U182" s="8">
        <v>0.51817947305783008</v>
      </c>
      <c r="V182" s="8" t="s">
        <v>15</v>
      </c>
      <c r="W182" s="8">
        <v>84.637963846000005</v>
      </c>
      <c r="X182" s="8">
        <v>0.34448455283899998</v>
      </c>
      <c r="Y182" s="8">
        <v>0.83162387531767001</v>
      </c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3:39" ht="12" x14ac:dyDescent="0.3">
      <c r="N183" s="6" t="s">
        <v>144</v>
      </c>
      <c r="O183" s="6" t="s">
        <v>35</v>
      </c>
      <c r="P183" s="8">
        <v>1.8533299996599999</v>
      </c>
      <c r="Q183" s="8">
        <v>7.4130945246000002E-2</v>
      </c>
      <c r="R183" s="8">
        <v>0.89188337255799999</v>
      </c>
      <c r="S183" s="8">
        <v>23.796808265280323</v>
      </c>
      <c r="T183" s="8">
        <v>33.359737766277917</v>
      </c>
      <c r="U183" s="8">
        <v>103.21493036208273</v>
      </c>
      <c r="V183" s="8">
        <f>1/Q183</f>
        <v>13.48964318047676</v>
      </c>
      <c r="W183" s="8" t="s">
        <v>15</v>
      </c>
      <c r="X183" s="8" t="s">
        <v>15</v>
      </c>
      <c r="Y183" s="8">
        <v>0.82595149367707255</v>
      </c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3:39" ht="12" x14ac:dyDescent="0.3">
      <c r="N184" s="6" t="s">
        <v>144</v>
      </c>
      <c r="O184" s="6" t="s">
        <v>35</v>
      </c>
      <c r="P184" s="8">
        <v>1.0713363090600001</v>
      </c>
      <c r="Q184" s="8" t="s">
        <v>15</v>
      </c>
      <c r="R184" s="8">
        <v>0.928809983108</v>
      </c>
      <c r="S184" s="8">
        <v>0.22556149160195041</v>
      </c>
      <c r="T184" s="8">
        <v>0.27310247621253136</v>
      </c>
      <c r="U184" s="8">
        <v>0.64382737372762455</v>
      </c>
      <c r="V184" s="8" t="s">
        <v>15</v>
      </c>
      <c r="W184" s="8" t="s">
        <v>15</v>
      </c>
      <c r="X184" s="8">
        <v>0.31536407193600002</v>
      </c>
      <c r="Y184" s="8">
        <v>0.67359789068025699</v>
      </c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3:39" ht="12" x14ac:dyDescent="0.3">
      <c r="N185" s="6" t="s">
        <v>144</v>
      </c>
      <c r="O185" s="6" t="s">
        <v>35</v>
      </c>
      <c r="P185" s="8">
        <v>1.5073367982500001</v>
      </c>
      <c r="Q185" s="7">
        <f>AVERAGE(Q183:Q184,Q186:Q187)*0.9</f>
        <v>6.2975524898610011E-2</v>
      </c>
      <c r="R185" s="8">
        <v>0.89682894938699997</v>
      </c>
      <c r="S185" s="8">
        <v>82.133179475633767</v>
      </c>
      <c r="T185" s="8">
        <v>110.26957751753227</v>
      </c>
      <c r="U185" s="8">
        <v>319.92290224728657</v>
      </c>
      <c r="V185" s="8">
        <f>1/Q185</f>
        <v>15.879184835854728</v>
      </c>
      <c r="W185" s="8">
        <v>80.637963846000005</v>
      </c>
      <c r="X185" s="8">
        <f>AVERAGE(X184,X182,X187)</f>
        <v>0.29556694102499997</v>
      </c>
      <c r="Y185" s="8">
        <v>0.82595149367707255</v>
      </c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3:39" ht="12" x14ac:dyDescent="0.3">
      <c r="N186" s="6" t="s">
        <v>144</v>
      </c>
      <c r="O186" s="6" t="s">
        <v>35</v>
      </c>
      <c r="P186" s="8">
        <v>1.1202932263100001</v>
      </c>
      <c r="Q186" s="18">
        <v>6.1371556221400003E-2</v>
      </c>
      <c r="R186" s="8">
        <v>0.91475416897399997</v>
      </c>
      <c r="S186" s="8">
        <v>18.606160648505032</v>
      </c>
      <c r="T186" s="8">
        <v>23.001057013696272</v>
      </c>
      <c r="U186" s="8">
        <v>56.991635281974695</v>
      </c>
      <c r="V186" s="8">
        <f>1/Q186</f>
        <v>16.294193296850182</v>
      </c>
      <c r="W186" s="8" t="s">
        <v>15</v>
      </c>
      <c r="X186" s="8" t="s">
        <v>15</v>
      </c>
      <c r="Y186" s="8">
        <v>0.82595149367707255</v>
      </c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3:39" ht="12" x14ac:dyDescent="0.3">
      <c r="N187" s="6" t="s">
        <v>144</v>
      </c>
      <c r="O187" s="6" t="s">
        <v>35</v>
      </c>
      <c r="P187" s="8">
        <v>1.6256905968099999</v>
      </c>
      <c r="Q187" s="8">
        <v>7.4415914861300003E-2</v>
      </c>
      <c r="R187" s="8">
        <v>0.79789404103499995</v>
      </c>
      <c r="S187" s="8">
        <v>21.027354131766298</v>
      </c>
      <c r="T187" s="8">
        <v>29.367549936921822</v>
      </c>
      <c r="U187" s="8">
        <v>90.394062558366485</v>
      </c>
      <c r="V187" s="8">
        <f>1/Q187</f>
        <v>13.437985703244374</v>
      </c>
      <c r="W187" s="8" t="s">
        <v>15</v>
      </c>
      <c r="X187" s="8">
        <v>0.2268521983</v>
      </c>
      <c r="Y187" s="8">
        <v>0.82595149367707255</v>
      </c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3:39" ht="12" x14ac:dyDescent="0.3">
      <c r="M188" s="9" t="s">
        <v>362</v>
      </c>
      <c r="N188" s="10" t="s">
        <v>144</v>
      </c>
      <c r="O188" s="10" t="s">
        <v>35</v>
      </c>
      <c r="P188" s="11">
        <f t="shared" ref="P188:Y188" si="38">AVERAGE(P182:P187)</f>
        <v>1.3731251912516667</v>
      </c>
      <c r="Q188" s="11">
        <f t="shared" si="38"/>
        <v>6.8223485306827508E-2</v>
      </c>
      <c r="R188" s="11">
        <f t="shared" si="38"/>
        <v>0.89436515698733332</v>
      </c>
      <c r="S188" s="11">
        <f t="shared" si="38"/>
        <v>24.329179973751909</v>
      </c>
      <c r="T188" s="11">
        <f t="shared" si="38"/>
        <v>32.749118557998706</v>
      </c>
      <c r="U188" s="11">
        <f t="shared" si="38"/>
        <v>95.280922882749323</v>
      </c>
      <c r="V188" s="11">
        <f t="shared" si="38"/>
        <v>14.775251754106511</v>
      </c>
      <c r="W188" s="11">
        <f t="shared" si="38"/>
        <v>82.637963846000005</v>
      </c>
      <c r="X188" s="11">
        <f t="shared" si="38"/>
        <v>0.29556694102499997</v>
      </c>
      <c r="Y188" s="11">
        <f t="shared" si="38"/>
        <v>0.80150462345103612</v>
      </c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3:39" ht="12" x14ac:dyDescent="0.3">
      <c r="M189" s="9" t="s">
        <v>363</v>
      </c>
      <c r="N189" s="12" t="s">
        <v>144</v>
      </c>
      <c r="O189" s="12" t="s">
        <v>35</v>
      </c>
      <c r="P189" s="13">
        <f t="shared" ref="P189:Y189" si="39">_xlfn.STDEV.S(P182:P187)</f>
        <v>0.33614538742640321</v>
      </c>
      <c r="Q189" s="13">
        <f t="shared" si="39"/>
        <v>7.0174612540903538E-3</v>
      </c>
      <c r="R189" s="13">
        <f t="shared" si="39"/>
        <v>5.0311480011300806E-2</v>
      </c>
      <c r="S189" s="13">
        <f t="shared" si="39"/>
        <v>30.163280925509429</v>
      </c>
      <c r="T189" s="13">
        <f t="shared" si="39"/>
        <v>40.568089591436028</v>
      </c>
      <c r="U189" s="13">
        <f t="shared" si="39"/>
        <v>118.28193074279677</v>
      </c>
      <c r="V189" s="13">
        <f t="shared" si="39"/>
        <v>1.5239118035097894</v>
      </c>
      <c r="W189" s="13">
        <f t="shared" si="39"/>
        <v>2.8284271247461903</v>
      </c>
      <c r="X189" s="13">
        <f t="shared" si="39"/>
        <v>5.0021911884211609E-2</v>
      </c>
      <c r="Y189" s="13">
        <f t="shared" si="39"/>
        <v>6.2702311722130158E-2</v>
      </c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</row>
    <row r="190" spans="13:39" ht="12" x14ac:dyDescent="0.3">
      <c r="M190" s="14" t="s">
        <v>364</v>
      </c>
      <c r="N190" s="15" t="s">
        <v>144</v>
      </c>
      <c r="O190" s="15" t="s">
        <v>35</v>
      </c>
      <c r="P190" s="16">
        <f>P189/P188</f>
        <v>0.24480316111598771</v>
      </c>
      <c r="Q190" s="16">
        <f t="shared" ref="Q190:Y190" si="40">Q189/SQRT(COUNT(Q183:Q187))</f>
        <v>3.5087306270451769E-3</v>
      </c>
      <c r="R190" s="16">
        <f t="shared" si="40"/>
        <v>2.2499977870778096E-2</v>
      </c>
      <c r="S190" s="16">
        <f t="shared" si="40"/>
        <v>13.489429314772369</v>
      </c>
      <c r="T190" s="16">
        <f t="shared" si="40"/>
        <v>18.142601208750524</v>
      </c>
      <c r="U190" s="16">
        <f t="shared" si="40"/>
        <v>52.897287530163155</v>
      </c>
      <c r="V190" s="16">
        <f t="shared" si="40"/>
        <v>0.76195590175489469</v>
      </c>
      <c r="W190" s="16">
        <f t="shared" si="40"/>
        <v>2.8284271247461903</v>
      </c>
      <c r="X190" s="16">
        <f t="shared" si="40"/>
        <v>2.8880164291729314E-2</v>
      </c>
      <c r="Y190" s="16">
        <f t="shared" si="40"/>
        <v>2.8041326271412988E-2</v>
      </c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</row>
    <row r="191" spans="13:39" ht="12" x14ac:dyDescent="0.3">
      <c r="N191" s="6" t="s">
        <v>169</v>
      </c>
      <c r="O191" s="6" t="s">
        <v>17</v>
      </c>
      <c r="P191" s="8">
        <v>1.2479360597</v>
      </c>
      <c r="Q191" s="8">
        <v>1.68396171575E-2</v>
      </c>
      <c r="R191" s="8">
        <v>1.24089932176</v>
      </c>
      <c r="S191" s="8">
        <v>243.18207302693659</v>
      </c>
      <c r="T191" s="8">
        <v>268.89179897911714</v>
      </c>
      <c r="U191" s="8">
        <v>473.50769081269289</v>
      </c>
      <c r="V191" s="8">
        <f>1/Q191</f>
        <v>59.38377284038323</v>
      </c>
      <c r="W191" s="8">
        <v>223.05232838000001</v>
      </c>
      <c r="X191" s="8">
        <v>8.1711323969300004E-2</v>
      </c>
      <c r="Y191" s="8">
        <v>0.81953799999999999</v>
      </c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</row>
    <row r="192" spans="13:39" ht="12" x14ac:dyDescent="0.3">
      <c r="N192" s="6" t="s">
        <v>169</v>
      </c>
      <c r="O192" s="6" t="s">
        <v>17</v>
      </c>
      <c r="P192" s="8">
        <v>3.1894494773200002</v>
      </c>
      <c r="Q192" s="8">
        <v>4.0574600820099997E-2</v>
      </c>
      <c r="R192" s="8">
        <f>AVERAGE(R191,R193:R194)*0.9</f>
        <v>0.90107458875119983</v>
      </c>
      <c r="S192" s="8">
        <v>86.362266694315878</v>
      </c>
      <c r="T192" s="8">
        <v>115.7302352776076</v>
      </c>
      <c r="U192" s="8">
        <v>334.75107476800292</v>
      </c>
      <c r="V192" s="8">
        <f>1/Q192</f>
        <v>24.645960275340929</v>
      </c>
      <c r="W192" s="8">
        <v>295.13453817999999</v>
      </c>
      <c r="X192" s="8">
        <v>5.1613548461199997E-2</v>
      </c>
      <c r="Y192" s="8">
        <v>0.81953799999999999</v>
      </c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</row>
    <row r="193" spans="13:39" ht="12" x14ac:dyDescent="0.3">
      <c r="N193" s="6" t="s">
        <v>169</v>
      </c>
      <c r="O193" s="6" t="s">
        <v>17</v>
      </c>
      <c r="P193" s="8">
        <f>AVERAGE(P191:P192,P194)*0.85</f>
        <v>1.8991361166493335</v>
      </c>
      <c r="Q193" s="17">
        <f>AVERAGE(Q194,Q192)*0.95</f>
        <v>4.5487422446162495E-2</v>
      </c>
      <c r="R193" s="8">
        <v>0.825164093233</v>
      </c>
      <c r="S193" s="8">
        <v>234.7240509639322</v>
      </c>
      <c r="T193" s="8">
        <v>370.93996641210032</v>
      </c>
      <c r="U193" s="8">
        <v>1317.1010319373795</v>
      </c>
      <c r="V193" s="8">
        <f>1/Q193</f>
        <v>21.984099037125461</v>
      </c>
      <c r="W193" s="8">
        <v>183.13613457299999</v>
      </c>
      <c r="X193" s="8">
        <v>9.7359362819600004E-2</v>
      </c>
      <c r="Y193" s="8">
        <v>0.81953799999999999</v>
      </c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</row>
    <row r="194" spans="13:39" ht="12" x14ac:dyDescent="0.3">
      <c r="N194" s="6" t="s">
        <v>169</v>
      </c>
      <c r="O194" s="6" t="s">
        <v>17</v>
      </c>
      <c r="P194" s="8">
        <v>2.26544781586</v>
      </c>
      <c r="Q194" s="8">
        <v>5.5188393803400002E-2</v>
      </c>
      <c r="R194" s="8">
        <v>0.93751854751100006</v>
      </c>
      <c r="S194" s="8">
        <f>AVERAGE(S191:S193)*0.9</f>
        <v>169.28051720555538</v>
      </c>
      <c r="T194" s="8">
        <v>52.081351891104653</v>
      </c>
      <c r="U194" s="8">
        <v>166.96333469064714</v>
      </c>
      <c r="V194" s="8">
        <f>1/Q194</f>
        <v>18.119751836995714</v>
      </c>
      <c r="W194" s="8">
        <v>230.18931425700001</v>
      </c>
      <c r="X194" s="8">
        <v>0.1943100616</v>
      </c>
      <c r="Y194" s="8">
        <v>0.81953799999999999</v>
      </c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</row>
    <row r="195" spans="13:39" ht="12" x14ac:dyDescent="0.3">
      <c r="M195" s="9" t="s">
        <v>362</v>
      </c>
      <c r="N195" s="10" t="s">
        <v>169</v>
      </c>
      <c r="O195" s="10" t="s">
        <v>17</v>
      </c>
      <c r="P195" s="11">
        <f>AVERAGE(P191:P194)</f>
        <v>2.1504923673823333</v>
      </c>
      <c r="Q195" s="11">
        <f>AVERAGE(Q192:Q194)</f>
        <v>4.7083472356554169E-2</v>
      </c>
      <c r="R195" s="11">
        <f>AVERAGE(R191:R194)</f>
        <v>0.97616413781379996</v>
      </c>
      <c r="S195" s="11">
        <f>AVERAGE(S191:S194)</f>
        <v>183.387226972685</v>
      </c>
      <c r="T195" s="11">
        <f>AVERAGE(T191:T194)</f>
        <v>201.91083813998242</v>
      </c>
      <c r="U195" s="11">
        <f>AVERAGE(U191:U194)</f>
        <v>573.08078305218066</v>
      </c>
      <c r="V195" s="11">
        <f>AVERAGE(V192:V194)</f>
        <v>21.583270383154034</v>
      </c>
      <c r="W195" s="11">
        <f>AVERAGE(W192:W194)</f>
        <v>236.15332900333331</v>
      </c>
      <c r="X195" s="11">
        <f>AVERAGE(X191:X194)</f>
        <v>0.10624857421252501</v>
      </c>
      <c r="Y195" s="11">
        <f>AVERAGE(Y191:Y194)</f>
        <v>0.81953799999999999</v>
      </c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</row>
    <row r="196" spans="13:39" ht="12" x14ac:dyDescent="0.3">
      <c r="M196" s="9" t="s">
        <v>363</v>
      </c>
      <c r="N196" s="12" t="s">
        <v>169</v>
      </c>
      <c r="O196" s="12" t="s">
        <v>17</v>
      </c>
      <c r="P196" s="13">
        <f>_xlfn.STDEV.S(P191:P194)</f>
        <v>0.81043907538742066</v>
      </c>
      <c r="Q196" s="13">
        <f>_xlfn.STDEV.S(Q192:Q194)</f>
        <v>7.4364822212543216E-3</v>
      </c>
      <c r="R196" s="13">
        <f>_xlfn.STDEV.S(R191:R194)</f>
        <v>0.18259030013549318</v>
      </c>
      <c r="S196" s="13">
        <f>_xlfn.STDEV.S(S191:S194)</f>
        <v>72.626292965273251</v>
      </c>
      <c r="T196" s="13">
        <f>_xlfn.STDEV.S(T191:T194)</f>
        <v>144.83699640019563</v>
      </c>
      <c r="U196" s="13">
        <f>_xlfn.STDEV.S(U191:U194)</f>
        <v>511.60315452631522</v>
      </c>
      <c r="V196" s="13">
        <f>_xlfn.STDEV.S(V192:V194)</f>
        <v>3.2815159381855081</v>
      </c>
      <c r="W196" s="13">
        <f>_xlfn.STDEV.S(W192:W194)</f>
        <v>56.236889196949676</v>
      </c>
      <c r="X196" s="13">
        <f>_xlfn.STDEV.S(X191:X194)</f>
        <v>6.1700638377111122E-2</v>
      </c>
      <c r="Y196" s="13">
        <f>_xlfn.STDEV.S(Y191:Y194)</f>
        <v>0</v>
      </c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</row>
    <row r="197" spans="13:39" ht="12" x14ac:dyDescent="0.3">
      <c r="M197" s="14" t="s">
        <v>364</v>
      </c>
      <c r="N197" s="15" t="s">
        <v>169</v>
      </c>
      <c r="O197" s="15" t="s">
        <v>17</v>
      </c>
      <c r="P197" s="16">
        <f>P196/P195</f>
        <v>0.37686210268856712</v>
      </c>
      <c r="Q197" s="16">
        <f>Q196/SQRT(COUNT(Q192:Q194))</f>
        <v>4.2934550122650491E-3</v>
      </c>
      <c r="R197" s="16">
        <f>R196/SQRT(COUNT(R190:R194))</f>
        <v>8.1656864627010356E-2</v>
      </c>
      <c r="S197" s="16">
        <f>S196/SQRT(COUNT(S190:S194))</f>
        <v>32.479465604833152</v>
      </c>
      <c r="T197" s="16">
        <f>T196/SQRT(COUNT(T190:T194))</f>
        <v>64.773073921545944</v>
      </c>
      <c r="U197" s="16">
        <f>U196/SQRT(COUNT(U190:U194))</f>
        <v>228.79588620483401</v>
      </c>
      <c r="V197" s="16">
        <f>V196/SQRT(COUNT(V192:V194))</f>
        <v>1.8945841102614505</v>
      </c>
      <c r="W197" s="16">
        <f>W196/SQRT(COUNT(W192:W194))</f>
        <v>32.468383116246052</v>
      </c>
      <c r="X197" s="16">
        <f>X196/SQRT(COUNT(X190:X194))</f>
        <v>2.7593364333270552E-2</v>
      </c>
      <c r="Y197" s="16">
        <f>Y196/SQRT(COUNT(Y190:Y194))</f>
        <v>0</v>
      </c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</row>
    <row r="198" spans="13:39" ht="12" x14ac:dyDescent="0.3">
      <c r="N198" s="6" t="s">
        <v>169</v>
      </c>
      <c r="O198" s="6" t="s">
        <v>26</v>
      </c>
      <c r="P198" s="8">
        <v>13.4099315275</v>
      </c>
      <c r="Q198" s="8">
        <v>5.4432407153600003E-2</v>
      </c>
      <c r="R198" s="8">
        <v>0.26568144106300001</v>
      </c>
      <c r="S198" s="8">
        <v>138.60248235321529</v>
      </c>
      <c r="T198" s="8">
        <v>242.50968059304384</v>
      </c>
      <c r="U198" s="8">
        <v>938.68121716822952</v>
      </c>
      <c r="V198" s="8">
        <f t="shared" ref="V198:V206" si="41">1/Q198</f>
        <v>18.371408730430598</v>
      </c>
      <c r="W198" s="8">
        <v>77.039304399000002</v>
      </c>
      <c r="X198" s="8">
        <v>0.28893806495199997</v>
      </c>
      <c r="Y198" s="8">
        <v>0.81953849188087569</v>
      </c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</row>
    <row r="199" spans="13:39" ht="12" x14ac:dyDescent="0.3">
      <c r="N199" s="6" t="s">
        <v>169</v>
      </c>
      <c r="O199" s="6" t="s">
        <v>26</v>
      </c>
      <c r="P199" s="8">
        <v>5.3593236952499996</v>
      </c>
      <c r="Q199" s="8">
        <v>4.5220822920000001E-2</v>
      </c>
      <c r="R199" s="8">
        <v>0.25537236293400001</v>
      </c>
      <c r="S199" s="8">
        <v>68.927661156333784</v>
      </c>
      <c r="T199" s="8">
        <v>118.60440520855411</v>
      </c>
      <c r="U199" s="8">
        <v>453.27349778526093</v>
      </c>
      <c r="V199" s="8">
        <f t="shared" si="41"/>
        <v>22.113706373037406</v>
      </c>
      <c r="W199" s="8">
        <v>70.820876330999994</v>
      </c>
      <c r="X199" s="8">
        <v>0.27695965084800001</v>
      </c>
      <c r="Y199" s="8">
        <v>0.81384918808759998</v>
      </c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</row>
    <row r="200" spans="13:39" ht="12" x14ac:dyDescent="0.3">
      <c r="N200" s="6" t="s">
        <v>169</v>
      </c>
      <c r="O200" s="6" t="s">
        <v>26</v>
      </c>
      <c r="P200" s="8">
        <f>AVERAGE(P201:P205,P199)</f>
        <v>6.2902358515916665</v>
      </c>
      <c r="Q200" s="8">
        <v>4.1475857020799999E-2</v>
      </c>
      <c r="R200" s="8">
        <v>9.6788472472200002E-2</v>
      </c>
      <c r="S200" s="8">
        <v>194.12851186072226</v>
      </c>
      <c r="T200" s="8">
        <v>342.42448534953832</v>
      </c>
      <c r="U200" s="8">
        <v>1333.4012190745138</v>
      </c>
      <c r="V200" s="8">
        <f t="shared" si="41"/>
        <v>24.110411980119025</v>
      </c>
      <c r="W200" s="8" t="s">
        <v>15</v>
      </c>
      <c r="X200" s="8">
        <v>0.25275474855800001</v>
      </c>
      <c r="Y200" s="8">
        <v>0.81953849188087569</v>
      </c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3:39" ht="12" x14ac:dyDescent="0.3">
      <c r="N201" s="6" t="s">
        <v>169</v>
      </c>
      <c r="O201" s="6" t="s">
        <v>26</v>
      </c>
      <c r="P201" s="8">
        <v>5.5783136189600002</v>
      </c>
      <c r="Q201" s="8">
        <v>4.2454254715099997E-2</v>
      </c>
      <c r="R201" s="8">
        <v>0.52966776737900001</v>
      </c>
      <c r="S201" s="8">
        <v>80.778145543035833</v>
      </c>
      <c r="T201" s="8">
        <v>135.28189286428392</v>
      </c>
      <c r="U201" s="8">
        <v>505.88829862423052</v>
      </c>
      <c r="V201" s="8">
        <f t="shared" si="41"/>
        <v>23.554765163368259</v>
      </c>
      <c r="W201" s="8">
        <v>90.290612784900006</v>
      </c>
      <c r="X201" s="8">
        <v>0.24644582983999999</v>
      </c>
      <c r="Y201" s="8">
        <v>0.81953849188087602</v>
      </c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3:39" ht="12" x14ac:dyDescent="0.3">
      <c r="N202" s="6" t="s">
        <v>169</v>
      </c>
      <c r="O202" s="6" t="s">
        <v>26</v>
      </c>
      <c r="P202" s="8">
        <v>12.003546177300001</v>
      </c>
      <c r="Q202" s="8">
        <v>5.53749530751E-2</v>
      </c>
      <c r="R202" s="8">
        <v>0.224646568086</v>
      </c>
      <c r="S202" s="8">
        <v>121.79394723163084</v>
      </c>
      <c r="T202" s="8">
        <v>213.24304458689707</v>
      </c>
      <c r="U202" s="8">
        <v>825.81260109366349</v>
      </c>
      <c r="V202" s="8">
        <f t="shared" si="41"/>
        <v>18.058706047909261</v>
      </c>
      <c r="W202" s="8">
        <v>80.293468179000001</v>
      </c>
      <c r="X202" s="8">
        <v>0.35531258039199998</v>
      </c>
      <c r="Y202" s="8">
        <v>0.80953849188087601</v>
      </c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</row>
    <row r="203" spans="13:39" ht="12" x14ac:dyDescent="0.3">
      <c r="N203" s="6" t="s">
        <v>169</v>
      </c>
      <c r="O203" s="6" t="s">
        <v>26</v>
      </c>
      <c r="P203" s="8">
        <v>4.75559382398</v>
      </c>
      <c r="Q203" s="8">
        <v>5.8109583719100001E-2</v>
      </c>
      <c r="R203" s="8">
        <v>0.47072400335499998</v>
      </c>
      <c r="S203" s="8">
        <v>50.547695139764855</v>
      </c>
      <c r="T203" s="8">
        <v>84.46468843743807</v>
      </c>
      <c r="U203" s="8">
        <v>315.26937328884219</v>
      </c>
      <c r="V203" s="8">
        <f t="shared" si="41"/>
        <v>17.208865319599781</v>
      </c>
      <c r="W203" s="8">
        <v>40.857055650900001</v>
      </c>
      <c r="X203" s="8">
        <v>0.325751793959</v>
      </c>
      <c r="Y203" s="8">
        <v>0.85384918808760002</v>
      </c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</row>
    <row r="204" spans="13:39" ht="12" x14ac:dyDescent="0.3">
      <c r="N204" s="6" t="s">
        <v>169</v>
      </c>
      <c r="O204" s="6" t="s">
        <v>26</v>
      </c>
      <c r="P204" s="8">
        <v>6.4282525494099998</v>
      </c>
      <c r="Q204" s="18">
        <v>5.51978866444E-2</v>
      </c>
      <c r="R204" s="8">
        <v>-0.56889801504699999</v>
      </c>
      <c r="S204" s="8">
        <v>572.89817546874258</v>
      </c>
      <c r="T204" s="8">
        <v>1076.2998183735895</v>
      </c>
      <c r="U204" s="8">
        <v>4376.245766309069</v>
      </c>
      <c r="V204" s="8">
        <f t="shared" si="41"/>
        <v>18.116635632126201</v>
      </c>
      <c r="W204" s="8" t="s">
        <v>15</v>
      </c>
      <c r="X204" s="8">
        <v>0.10110119857700001</v>
      </c>
      <c r="Y204" s="8">
        <v>0.81849188087000002</v>
      </c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</row>
    <row r="205" spans="13:39" ht="12" x14ac:dyDescent="0.3">
      <c r="N205" s="6" t="s">
        <v>169</v>
      </c>
      <c r="O205" s="6" t="s">
        <v>26</v>
      </c>
      <c r="P205" s="8">
        <v>3.61638524465</v>
      </c>
      <c r="Q205" s="8">
        <v>6.9268534425600006E-2</v>
      </c>
      <c r="R205" s="8">
        <v>0.66030329690699996</v>
      </c>
      <c r="S205" s="8">
        <v>35.483418011217452</v>
      </c>
      <c r="T205" s="8">
        <v>56.731248512954863</v>
      </c>
      <c r="U205" s="8">
        <v>203.66688660879259</v>
      </c>
      <c r="V205" s="8">
        <f t="shared" si="41"/>
        <v>14.436569335447405</v>
      </c>
      <c r="W205" s="8">
        <f>AVERAGE(W198:W204)*0.8</f>
        <v>57.488210775168</v>
      </c>
      <c r="X205" s="8">
        <v>0.19870654744999999</v>
      </c>
      <c r="Y205" s="8">
        <v>0.81953849188087569</v>
      </c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</row>
    <row r="206" spans="13:39" ht="12" x14ac:dyDescent="0.3">
      <c r="N206" s="6" t="s">
        <v>169</v>
      </c>
      <c r="O206" s="6" t="s">
        <v>26</v>
      </c>
      <c r="P206" s="8">
        <f>AVERAGE(P203:P205,P199:P201)*0.85</f>
        <v>4.5373148443775699</v>
      </c>
      <c r="Q206" s="8">
        <v>6.4891170410400004E-2</v>
      </c>
      <c r="R206" s="8">
        <v>1.1555776405</v>
      </c>
      <c r="S206" s="8">
        <v>33.87594657016411</v>
      </c>
      <c r="T206" s="8">
        <v>46.605673668063446</v>
      </c>
      <c r="U206" s="8">
        <v>140.393558500897</v>
      </c>
      <c r="V206" s="8">
        <f t="shared" si="41"/>
        <v>15.410417067153587</v>
      </c>
      <c r="W206" s="8">
        <f>AVERAGE(W197:W199,W204:W205)*1.25</f>
        <v>74.317742069191894</v>
      </c>
      <c r="X206" s="8">
        <v>0.14560199970000001</v>
      </c>
      <c r="Y206" s="8">
        <v>0.81953849188087569</v>
      </c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</row>
    <row r="207" spans="13:39" ht="12" x14ac:dyDescent="0.3">
      <c r="M207" s="9" t="s">
        <v>362</v>
      </c>
      <c r="N207" s="10" t="s">
        <v>169</v>
      </c>
      <c r="O207" s="10" t="s">
        <v>26</v>
      </c>
      <c r="P207" s="11">
        <f>AVERAGE(P203:P206,P199:P201)</f>
        <v>5.2236313754598909</v>
      </c>
      <c r="Q207" s="11">
        <f t="shared" ref="Q207:Y207" si="42">AVERAGE(Q198:Q206)</f>
        <v>5.4047274453788895E-2</v>
      </c>
      <c r="R207" s="11">
        <f t="shared" si="42"/>
        <v>0.34331817084991112</v>
      </c>
      <c r="S207" s="11">
        <f t="shared" si="42"/>
        <v>144.11510925942522</v>
      </c>
      <c r="T207" s="11">
        <f t="shared" si="42"/>
        <v>257.35165973270699</v>
      </c>
      <c r="U207" s="11">
        <f t="shared" si="42"/>
        <v>1010.2924909392776</v>
      </c>
      <c r="V207" s="11">
        <f t="shared" si="42"/>
        <v>19.042387294354615</v>
      </c>
      <c r="W207" s="11">
        <f t="shared" si="42"/>
        <v>70.15818145559426</v>
      </c>
      <c r="X207" s="11">
        <f t="shared" si="42"/>
        <v>0.24350804603066667</v>
      </c>
      <c r="Y207" s="11">
        <f t="shared" si="42"/>
        <v>0.82149124537005058</v>
      </c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</row>
    <row r="208" spans="13:39" ht="12" x14ac:dyDescent="0.3">
      <c r="M208" s="9" t="s">
        <v>363</v>
      </c>
      <c r="N208" s="12" t="s">
        <v>169</v>
      </c>
      <c r="O208" s="12" t="s">
        <v>26</v>
      </c>
      <c r="P208" s="13">
        <f>_xlfn.STDEV.S(P203:P206,P199:P201)</f>
        <v>1.0005247653250995</v>
      </c>
      <c r="Q208" s="13">
        <f t="shared" ref="Q208:Y208" si="43">_xlfn.STDEV.S(Q198:Q206)</f>
        <v>9.6135259332869177E-3</v>
      </c>
      <c r="R208" s="13">
        <f t="shared" si="43"/>
        <v>0.46529071190756616</v>
      </c>
      <c r="S208" s="13">
        <f t="shared" si="43"/>
        <v>169.28451763277224</v>
      </c>
      <c r="T208" s="13">
        <f t="shared" si="43"/>
        <v>321.86633094731286</v>
      </c>
      <c r="U208" s="13">
        <f t="shared" si="43"/>
        <v>1319.4848240272202</v>
      </c>
      <c r="V208" s="13">
        <f t="shared" si="43"/>
        <v>3.4554459902650398</v>
      </c>
      <c r="W208" s="13">
        <f t="shared" si="43"/>
        <v>16.2901499922427</v>
      </c>
      <c r="X208" s="13">
        <f t="shared" si="43"/>
        <v>8.2472567353718287E-2</v>
      </c>
      <c r="Y208" s="13">
        <f t="shared" si="43"/>
        <v>1.2631153108213377E-2</v>
      </c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</row>
    <row r="209" spans="13:39" ht="12" x14ac:dyDescent="0.3">
      <c r="M209" s="14" t="s">
        <v>364</v>
      </c>
      <c r="N209" s="15" t="s">
        <v>169</v>
      </c>
      <c r="O209" s="15" t="s">
        <v>26</v>
      </c>
      <c r="P209" s="16">
        <f>P208/P207</f>
        <v>0.19153816443202079</v>
      </c>
      <c r="Q209" s="16">
        <f>Q208/SQRT(COUNT(Q198:Q206))</f>
        <v>3.2045086444289724E-3</v>
      </c>
      <c r="R209" s="16">
        <f>R208/SQRT(COUNT(R202:R206))</f>
        <v>0.20808433222491773</v>
      </c>
      <c r="S209" s="16">
        <f>S208/SQRT(COUNT(S202:S206))</f>
        <v>75.706337793028098</v>
      </c>
      <c r="T209" s="16">
        <f>T208/SQRT(COUNT(T202:T206))</f>
        <v>143.94299913332716</v>
      </c>
      <c r="U209" s="16">
        <f>U208/SQRT(COUNT(U202:U206))</f>
        <v>590.09155236084234</v>
      </c>
      <c r="V209" s="16">
        <f>V208/SQRT(COUNT(V198:V206))</f>
        <v>1.1518153300883467</v>
      </c>
      <c r="W209" s="16">
        <f>W208/SQRT(COUNT(W198:W206))</f>
        <v>6.1570979570592792</v>
      </c>
      <c r="X209" s="16">
        <f>X208/SQRT(COUNT(X202:X206))</f>
        <v>3.6882853376368804E-2</v>
      </c>
      <c r="Y209" s="16">
        <f>Y208/SQRT(COUNT(Y202:Y206))</f>
        <v>5.6488233968345729E-3</v>
      </c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</row>
    <row r="210" spans="13:39" ht="12" x14ac:dyDescent="0.3">
      <c r="N210" s="6" t="s">
        <v>169</v>
      </c>
      <c r="O210" s="6" t="s">
        <v>35</v>
      </c>
      <c r="P210" s="8">
        <v>6.4282525494099998</v>
      </c>
      <c r="Q210" s="18">
        <v>5.51978866444E-2</v>
      </c>
      <c r="R210" s="8">
        <v>-0.56889801504699999</v>
      </c>
      <c r="S210" s="8">
        <v>572.89817546874258</v>
      </c>
      <c r="T210" s="8">
        <v>1076.2998183735895</v>
      </c>
      <c r="U210" s="8">
        <v>4376.245766309069</v>
      </c>
      <c r="V210" s="8">
        <f>1/Q210</f>
        <v>18.116635632126201</v>
      </c>
      <c r="W210" s="8" t="s">
        <v>15</v>
      </c>
      <c r="X210" s="8">
        <v>0.10110119857700001</v>
      </c>
      <c r="Y210" s="8">
        <v>0.81384918808759998</v>
      </c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</row>
    <row r="211" spans="13:39" ht="12" x14ac:dyDescent="0.3">
      <c r="N211" s="6" t="s">
        <v>169</v>
      </c>
      <c r="O211" s="6" t="s">
        <v>35</v>
      </c>
      <c r="P211" s="8">
        <f>AVERAGE(P212:P215,P217:P218)*0.85</f>
        <v>1.4673807496719167</v>
      </c>
      <c r="Q211" s="8">
        <v>6.9268534425600006E-2</v>
      </c>
      <c r="R211" s="8">
        <v>0.66030329690699996</v>
      </c>
      <c r="S211" s="8">
        <v>35.483418011217452</v>
      </c>
      <c r="T211" s="8">
        <v>56.731248512954863</v>
      </c>
      <c r="U211" s="8">
        <v>203.66688660879259</v>
      </c>
      <c r="V211" s="8">
        <f>1/Q211</f>
        <v>14.436569335447405</v>
      </c>
      <c r="W211" s="8">
        <v>1.5320906753000001</v>
      </c>
      <c r="X211" s="8">
        <v>0.119870654745</v>
      </c>
      <c r="Y211" s="8">
        <v>0.88491880875999995</v>
      </c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</row>
    <row r="212" spans="13:39" ht="12" x14ac:dyDescent="0.3">
      <c r="N212" s="6" t="s">
        <v>169</v>
      </c>
      <c r="O212" s="6" t="s">
        <v>35</v>
      </c>
      <c r="P212" s="8">
        <v>2.18066719703</v>
      </c>
      <c r="Q212" s="8">
        <v>6.4891170410400004E-2</v>
      </c>
      <c r="R212" s="8">
        <v>1.1555776405</v>
      </c>
      <c r="S212" s="8">
        <v>33.87594657016411</v>
      </c>
      <c r="T212" s="8">
        <v>46.605673668063446</v>
      </c>
      <c r="U212" s="8">
        <v>140.393558500897</v>
      </c>
      <c r="V212" s="8">
        <f>1/Q212</f>
        <v>15.410417067153587</v>
      </c>
      <c r="W212" s="8">
        <v>1.6388753647400001</v>
      </c>
      <c r="X212" s="8">
        <v>0.27145601999699998</v>
      </c>
      <c r="Y212" s="8">
        <v>0.81953849188087569</v>
      </c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</row>
    <row r="213" spans="13:39" ht="12" x14ac:dyDescent="0.3">
      <c r="N213" s="6" t="s">
        <v>169</v>
      </c>
      <c r="O213" s="6" t="s">
        <v>35</v>
      </c>
      <c r="P213" s="8">
        <v>2.3461642390300002</v>
      </c>
      <c r="Q213" s="8">
        <v>5.7000012455500002E-2</v>
      </c>
      <c r="R213" s="8">
        <v>1.66649136347</v>
      </c>
      <c r="S213" s="8">
        <v>52.480789087515276</v>
      </c>
      <c r="T213" s="8">
        <v>67.534181227477944</v>
      </c>
      <c r="U213" s="8">
        <v>181.92406712327039</v>
      </c>
      <c r="V213" s="8">
        <f>1/Q213</f>
        <v>17.543855815482523</v>
      </c>
      <c r="W213" s="8" t="s">
        <v>15</v>
      </c>
      <c r="X213" s="8">
        <v>0.23579465706899999</v>
      </c>
      <c r="Y213" s="8">
        <v>0.80538491880875995</v>
      </c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</row>
    <row r="214" spans="13:39" ht="12" x14ac:dyDescent="0.3">
      <c r="N214" s="6" t="s">
        <v>169</v>
      </c>
      <c r="O214" s="6" t="s">
        <v>35</v>
      </c>
      <c r="P214" s="8">
        <v>2.1130901201999999</v>
      </c>
      <c r="Q214" s="8">
        <v>7.7028658507399997E-2</v>
      </c>
      <c r="R214" s="8">
        <v>0.262732725073</v>
      </c>
      <c r="S214" s="8">
        <v>17.447003669296535</v>
      </c>
      <c r="T214" s="8">
        <v>28.753244767555675</v>
      </c>
      <c r="U214" s="8">
        <v>106.07108611620477</v>
      </c>
      <c r="V214" s="8">
        <f>1/Q214</f>
        <v>12.982181169673776</v>
      </c>
      <c r="W214" s="8">
        <v>0.79581716403900005</v>
      </c>
      <c r="X214" s="8">
        <v>0.13315614949900001</v>
      </c>
      <c r="Y214" s="8">
        <v>0.89538491880876003</v>
      </c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</row>
    <row r="215" spans="13:39" ht="12" x14ac:dyDescent="0.3">
      <c r="N215" s="6" t="s">
        <v>169</v>
      </c>
      <c r="O215" s="6" t="s">
        <v>35</v>
      </c>
      <c r="P215" s="8">
        <v>1.03279290247</v>
      </c>
      <c r="Q215" s="8" t="s">
        <v>15</v>
      </c>
      <c r="R215" s="8">
        <v>0.893108690348</v>
      </c>
      <c r="S215" s="8">
        <v>2.3027755161420613E-2</v>
      </c>
      <c r="T215" s="8">
        <v>2.7907964700982085E-2</v>
      </c>
      <c r="U215" s="8">
        <v>6.5950202103891395E-2</v>
      </c>
      <c r="V215" s="8" t="s">
        <v>15</v>
      </c>
      <c r="W215" s="8">
        <v>1.67773161374</v>
      </c>
      <c r="X215" s="8">
        <v>0.15034190884000001</v>
      </c>
      <c r="Y215" s="8">
        <v>0.5779387849540556</v>
      </c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</row>
    <row r="216" spans="13:39" ht="12" x14ac:dyDescent="0.3">
      <c r="N216" s="6" t="s">
        <v>169</v>
      </c>
      <c r="O216" s="6" t="s">
        <v>35</v>
      </c>
      <c r="P216" s="8">
        <f>AVERAGE(P217:P218,P212:P215)</f>
        <v>1.7263302937316667</v>
      </c>
      <c r="Q216" s="7">
        <f>AVERAGE(Q210:Q215)*0.85</f>
        <v>5.4975664615360992E-2</v>
      </c>
      <c r="R216" s="8">
        <v>5.3227892067200001E-2</v>
      </c>
      <c r="S216" s="8">
        <v>262.75414709562386</v>
      </c>
      <c r="T216" s="8">
        <v>462.91539656513453</v>
      </c>
      <c r="U216" s="8">
        <v>1800.9959604160804</v>
      </c>
      <c r="V216" s="8">
        <f>1/Q216</f>
        <v>18.189866498141171</v>
      </c>
      <c r="W216" s="8" t="s">
        <v>15</v>
      </c>
      <c r="X216" s="8">
        <v>0.144250421322</v>
      </c>
      <c r="Y216" s="8">
        <v>0.81953849188087569</v>
      </c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</row>
    <row r="217" spans="13:39" ht="12" x14ac:dyDescent="0.3">
      <c r="N217" s="6" t="s">
        <v>169</v>
      </c>
      <c r="O217" s="6" t="s">
        <v>35</v>
      </c>
      <c r="P217" s="8">
        <v>1.42973415176</v>
      </c>
      <c r="Q217" s="8" t="s">
        <v>15</v>
      </c>
      <c r="R217" s="8">
        <v>0.65522306834999999</v>
      </c>
      <c r="S217" s="8">
        <v>7.910675225827787</v>
      </c>
      <c r="T217" s="8">
        <v>11.190330631348838</v>
      </c>
      <c r="U217" s="8">
        <v>35.050179526992537</v>
      </c>
      <c r="V217" s="8" t="s">
        <v>15</v>
      </c>
      <c r="W217" s="8">
        <v>0.44289312919000001</v>
      </c>
      <c r="X217" s="8">
        <v>0.117541560553</v>
      </c>
      <c r="Y217" s="8">
        <v>0.81538491880875996</v>
      </c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</row>
    <row r="218" spans="13:39" ht="12" x14ac:dyDescent="0.3">
      <c r="N218" s="6" t="s">
        <v>169</v>
      </c>
      <c r="O218" s="6" t="s">
        <v>35</v>
      </c>
      <c r="P218" s="8">
        <v>1.2555331518999999</v>
      </c>
      <c r="Q218" s="8" t="s">
        <v>15</v>
      </c>
      <c r="R218" s="8">
        <v>0.75285420734800002</v>
      </c>
      <c r="S218" s="8">
        <v>7.5881723367061213E-2</v>
      </c>
      <c r="T218" s="8">
        <v>0.10170094210953787</v>
      </c>
      <c r="U218" s="8">
        <v>0.29424247913581986</v>
      </c>
      <c r="V218" s="8" t="s">
        <v>15</v>
      </c>
      <c r="W218" s="8" t="s">
        <v>15</v>
      </c>
      <c r="X218" s="8" t="s">
        <v>15</v>
      </c>
      <c r="Y218" s="8">
        <v>0.90421138601401696</v>
      </c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</row>
    <row r="219" spans="13:39" ht="12" x14ac:dyDescent="0.3">
      <c r="M219" s="9" t="s">
        <v>362</v>
      </c>
      <c r="N219" s="10" t="s">
        <v>169</v>
      </c>
      <c r="O219" s="10" t="s">
        <v>35</v>
      </c>
      <c r="P219" s="11">
        <f>AVERAGE(P211:P218)</f>
        <v>1.693961600724198</v>
      </c>
      <c r="Q219" s="11">
        <f t="shared" ref="Q219:Y219" si="44">AVERAGE(Q210:Q218)</f>
        <v>6.3060321176443501E-2</v>
      </c>
      <c r="R219" s="11">
        <f t="shared" si="44"/>
        <v>0.61451342989068891</v>
      </c>
      <c r="S219" s="11">
        <f t="shared" si="44"/>
        <v>109.21656273410179</v>
      </c>
      <c r="T219" s="11">
        <f t="shared" si="44"/>
        <v>194.46216696143728</v>
      </c>
      <c r="U219" s="11">
        <f t="shared" si="44"/>
        <v>760.52307747583848</v>
      </c>
      <c r="V219" s="11">
        <f t="shared" si="44"/>
        <v>16.113254253004111</v>
      </c>
      <c r="W219" s="11">
        <f t="shared" si="44"/>
        <v>1.2174815894018001</v>
      </c>
      <c r="X219" s="11">
        <f t="shared" si="44"/>
        <v>0.15918907132524998</v>
      </c>
      <c r="Y219" s="11">
        <f t="shared" si="44"/>
        <v>0.81512776755596694</v>
      </c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</row>
    <row r="220" spans="13:39" ht="12" x14ac:dyDescent="0.3">
      <c r="M220" s="9" t="s">
        <v>363</v>
      </c>
      <c r="N220" s="12" t="s">
        <v>169</v>
      </c>
      <c r="O220" s="12" t="s">
        <v>35</v>
      </c>
      <c r="P220" s="13">
        <f>_xlfn.STDEV.S(P211:P218)</f>
        <v>0.47651797240168192</v>
      </c>
      <c r="Q220" s="13">
        <f t="shared" ref="Q220:Y220" si="45">_xlfn.STDEV.S(Q210:Q218)</f>
        <v>8.9544989667802288E-3</v>
      </c>
      <c r="R220" s="13">
        <f t="shared" si="45"/>
        <v>0.64606204195524486</v>
      </c>
      <c r="S220" s="13">
        <f t="shared" si="45"/>
        <v>192.16711868618583</v>
      </c>
      <c r="T220" s="13">
        <f t="shared" si="45"/>
        <v>361.12247346126088</v>
      </c>
      <c r="U220" s="13">
        <f t="shared" si="45"/>
        <v>1470.3877844681042</v>
      </c>
      <c r="V220" s="13">
        <f t="shared" si="45"/>
        <v>2.1670877819398049</v>
      </c>
      <c r="W220" s="13">
        <f t="shared" si="45"/>
        <v>0.56262106386906308</v>
      </c>
      <c r="X220" s="13">
        <f t="shared" si="45"/>
        <v>6.1069148271563831E-2</v>
      </c>
      <c r="Y220" s="13">
        <f t="shared" si="45"/>
        <v>9.7238133772805671E-2</v>
      </c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</row>
    <row r="221" spans="13:39" ht="12" x14ac:dyDescent="0.3">
      <c r="M221" s="14" t="s">
        <v>364</v>
      </c>
      <c r="N221" s="15" t="s">
        <v>169</v>
      </c>
      <c r="O221" s="15" t="s">
        <v>35</v>
      </c>
      <c r="P221" s="16">
        <f>P220/P219</f>
        <v>0.28130388091321684</v>
      </c>
      <c r="Q221" s="16">
        <f>Q220/SQRT(COUNT(Q210:Q218))</f>
        <v>3.6556588951484562E-3</v>
      </c>
      <c r="R221" s="16">
        <f>R220/SQRT(COUNT(R214:R218))</f>
        <v>0.2889277286988497</v>
      </c>
      <c r="S221" s="16">
        <f>S220/SQRT(COUNT(S214:S218))</f>
        <v>85.93974808451631</v>
      </c>
      <c r="T221" s="16">
        <f>T220/SQRT(COUNT(T214:T218))</f>
        <v>161.49887977244862</v>
      </c>
      <c r="U221" s="16">
        <f>U220/SQRT(COUNT(U214:U218))</f>
        <v>657.57740787119803</v>
      </c>
      <c r="V221" s="16">
        <f>V220/SQRT(COUNT(V210:V218))</f>
        <v>0.88470988226205016</v>
      </c>
      <c r="W221" s="16">
        <f>W220/SQRT(COUNT(W210:W218))</f>
        <v>0.25161178887689517</v>
      </c>
      <c r="X221" s="16">
        <f>X220/SQRT(COUNT(X214:X218))</f>
        <v>3.0534574135781915E-2</v>
      </c>
      <c r="Y221" s="16">
        <f>Y220/SQRT(COUNT(Y214:Y218))</f>
        <v>4.348621542424231E-2</v>
      </c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</row>
    <row r="222" spans="13:39" ht="12" x14ac:dyDescent="0.3">
      <c r="N222" s="6" t="s">
        <v>194</v>
      </c>
      <c r="O222" s="6" t="s">
        <v>17</v>
      </c>
      <c r="P222" s="8">
        <v>12.7004711037</v>
      </c>
      <c r="Q222" s="8">
        <v>3.43880122782E-2</v>
      </c>
      <c r="R222" s="8">
        <f>AVERAGE(R225,R223:R224)*0.9</f>
        <v>0.53834648796329987</v>
      </c>
      <c r="S222" s="8">
        <v>-203.20165450624881</v>
      </c>
      <c r="T222" s="8">
        <v>-359.62053773741843</v>
      </c>
      <c r="U222" s="8">
        <v>-1403.76801790478</v>
      </c>
      <c r="V222" s="8">
        <f>1/Q222</f>
        <v>29.079901214119953</v>
      </c>
      <c r="W222" s="8">
        <v>277.231816036</v>
      </c>
      <c r="X222" s="8">
        <v>0.233599806065</v>
      </c>
      <c r="Y222" s="8">
        <v>0.76100299999999999</v>
      </c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</row>
    <row r="223" spans="13:39" ht="12" x14ac:dyDescent="0.3">
      <c r="N223" s="6" t="s">
        <v>194</v>
      </c>
      <c r="O223" s="6" t="s">
        <v>17</v>
      </c>
      <c r="P223" s="8">
        <f>AVERAGE(P222,P224:P225)*0.85</f>
        <v>10.026643268652165</v>
      </c>
      <c r="Q223" s="8">
        <v>4.0206595558999997E-2</v>
      </c>
      <c r="R223" s="8">
        <v>0.73530396736100001</v>
      </c>
      <c r="S223" s="8">
        <v>103.51369301963057</v>
      </c>
      <c r="T223" s="8">
        <v>171.86873654693409</v>
      </c>
      <c r="U223" s="8">
        <v>638.07432616343988</v>
      </c>
      <c r="V223" s="8">
        <f>1/Q223</f>
        <v>24.871541250802476</v>
      </c>
      <c r="W223" s="8">
        <f>AVERAGE(W224:W225,W222)*0.95</f>
        <v>250.54323229158334</v>
      </c>
      <c r="X223" s="8">
        <v>0.258377466349</v>
      </c>
      <c r="Y223" s="8">
        <v>0.824712</v>
      </c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</row>
    <row r="224" spans="13:39" ht="12" x14ac:dyDescent="0.3">
      <c r="N224" s="6" t="s">
        <v>194</v>
      </c>
      <c r="O224" s="6" t="s">
        <v>17</v>
      </c>
      <c r="P224" s="8">
        <v>9.8187560711900002</v>
      </c>
      <c r="Q224" s="8">
        <v>3.0680254472500001E-2</v>
      </c>
      <c r="R224" s="8">
        <v>0.36696630305</v>
      </c>
      <c r="S224" s="8">
        <v>183.87350924045643</v>
      </c>
      <c r="T224" s="8">
        <v>318.32690656845693</v>
      </c>
      <c r="U224" s="8">
        <v>1222.2955942068802</v>
      </c>
      <c r="V224" s="8">
        <f>1/Q224</f>
        <v>32.594253769842162</v>
      </c>
      <c r="W224" s="8">
        <v>214.87052496699999</v>
      </c>
      <c r="X224" s="8">
        <v>0.23209449070099999</v>
      </c>
      <c r="Y224" s="8">
        <v>0.824712</v>
      </c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</row>
    <row r="225" spans="13:39" ht="12" x14ac:dyDescent="0.3">
      <c r="N225" s="6" t="s">
        <v>194</v>
      </c>
      <c r="O225" s="6" t="s">
        <v>17</v>
      </c>
      <c r="P225" s="8">
        <v>12.868925537999999</v>
      </c>
      <c r="Q225" s="8">
        <v>3.62642099373E-2</v>
      </c>
      <c r="R225" s="8">
        <v>0.6922180228</v>
      </c>
      <c r="S225" s="8">
        <v>207.89348331196553</v>
      </c>
      <c r="T225" s="8">
        <v>356.43702264293029</v>
      </c>
      <c r="U225" s="8">
        <v>1358.3763315475603</v>
      </c>
      <c r="V225" s="8">
        <f>1/Q225</f>
        <v>27.575397388471373</v>
      </c>
      <c r="W225" s="8">
        <v>299.08681360200001</v>
      </c>
      <c r="X225" s="8">
        <v>0.22178132924999999</v>
      </c>
      <c r="Y225" s="8">
        <v>0.824712</v>
      </c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</row>
    <row r="226" spans="13:39" ht="12" x14ac:dyDescent="0.3">
      <c r="M226" s="9" t="s">
        <v>362</v>
      </c>
      <c r="N226" s="10" t="s">
        <v>194</v>
      </c>
      <c r="O226" s="10" t="s">
        <v>17</v>
      </c>
      <c r="P226" s="11">
        <f t="shared" ref="P226:Y226" si="46">AVERAGE(P222:P225)</f>
        <v>11.353698995385541</v>
      </c>
      <c r="Q226" s="11">
        <f t="shared" si="46"/>
        <v>3.5384768061749998E-2</v>
      </c>
      <c r="R226" s="11">
        <f t="shared" si="46"/>
        <v>0.583208695293575</v>
      </c>
      <c r="S226" s="11">
        <f t="shared" si="46"/>
        <v>73.019757766450923</v>
      </c>
      <c r="T226" s="11">
        <f t="shared" si="46"/>
        <v>121.75303200522572</v>
      </c>
      <c r="U226" s="11">
        <f t="shared" si="46"/>
        <v>453.74455850327513</v>
      </c>
      <c r="V226" s="11">
        <f t="shared" si="46"/>
        <v>28.530273405808991</v>
      </c>
      <c r="W226" s="11">
        <f t="shared" si="46"/>
        <v>260.4330967241458</v>
      </c>
      <c r="X226" s="11">
        <f t="shared" si="46"/>
        <v>0.23646327309124998</v>
      </c>
      <c r="Y226" s="11">
        <f t="shared" si="46"/>
        <v>0.80878474999999994</v>
      </c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</row>
    <row r="227" spans="13:39" ht="12" x14ac:dyDescent="0.3">
      <c r="M227" s="9" t="s">
        <v>363</v>
      </c>
      <c r="N227" s="12" t="s">
        <v>194</v>
      </c>
      <c r="O227" s="12" t="s">
        <v>17</v>
      </c>
      <c r="P227" s="13">
        <f t="shared" ref="P227:Y227" si="47">_xlfn.STDEV.S(P222:P225)</f>
        <v>1.6559824143159441</v>
      </c>
      <c r="Q227" s="13">
        <f t="shared" si="47"/>
        <v>3.964400275333178E-3</v>
      </c>
      <c r="R227" s="13">
        <f t="shared" si="47"/>
        <v>0.16712210617632831</v>
      </c>
      <c r="S227" s="13">
        <f t="shared" si="47"/>
        <v>189.47966007247078</v>
      </c>
      <c r="T227" s="13">
        <f t="shared" si="47"/>
        <v>330.63069080719418</v>
      </c>
      <c r="U227" s="13">
        <f t="shared" si="47"/>
        <v>1277.153054524277</v>
      </c>
      <c r="V227" s="13">
        <f t="shared" si="47"/>
        <v>3.2205660122345505</v>
      </c>
      <c r="W227" s="13">
        <f t="shared" si="47"/>
        <v>36.286196469233218</v>
      </c>
      <c r="X227" s="13">
        <f t="shared" si="47"/>
        <v>1.5525001815130481E-2</v>
      </c>
      <c r="Y227" s="13">
        <f t="shared" si="47"/>
        <v>3.1854500000000008E-2</v>
      </c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</row>
    <row r="228" spans="13:39" ht="12" x14ac:dyDescent="0.3">
      <c r="M228" s="14" t="s">
        <v>364</v>
      </c>
      <c r="N228" s="15" t="s">
        <v>194</v>
      </c>
      <c r="O228" s="15" t="s">
        <v>17</v>
      </c>
      <c r="P228" s="16">
        <f>P227/P226</f>
        <v>0.1458540000918627</v>
      </c>
      <c r="Q228" s="16">
        <f>Q227/SQRT(COUNT(Q222:Q225))</f>
        <v>1.982200137666589E-3</v>
      </c>
      <c r="R228" s="16">
        <f>R227/SQRT(COUNT(R221:R225))</f>
        <v>7.4739277990641506E-2</v>
      </c>
      <c r="S228" s="16">
        <f>S227/SQRT(COUNT(S221:S225))</f>
        <v>84.737880055119476</v>
      </c>
      <c r="T228" s="16">
        <f>T227/SQRT(COUNT(T221:T225))</f>
        <v>147.86254001852021</v>
      </c>
      <c r="U228" s="16">
        <f>U227/SQRT(COUNT(U221:U225))</f>
        <v>571.1602095175557</v>
      </c>
      <c r="V228" s="16">
        <f>V227/SQRT(COUNT(V222:V225))</f>
        <v>1.6102830061172753</v>
      </c>
      <c r="W228" s="16">
        <f>W227/SQRT(COUNT(W222:W225))</f>
        <v>18.143098234616609</v>
      </c>
      <c r="X228" s="16">
        <f>X227/SQRT(COUNT(X221:X225))</f>
        <v>6.9429918818878751E-3</v>
      </c>
      <c r="Y228" s="16">
        <f>Y227/SQRT(COUNT(Y221:Y225))</f>
        <v>1.4245765477853414E-2</v>
      </c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</row>
    <row r="229" spans="13:39" ht="12" x14ac:dyDescent="0.3">
      <c r="N229" s="6" t="s">
        <v>194</v>
      </c>
      <c r="O229" s="6" t="s">
        <v>26</v>
      </c>
      <c r="P229" s="8">
        <v>3.87486936572</v>
      </c>
      <c r="Q229" s="8">
        <v>4.09470424299E-2</v>
      </c>
      <c r="R229" s="8">
        <v>0.295908770303</v>
      </c>
      <c r="S229" s="8">
        <v>56.929614103282447</v>
      </c>
      <c r="T229" s="8">
        <v>96.344066761493906</v>
      </c>
      <c r="U229" s="8">
        <v>363.37828360352484</v>
      </c>
      <c r="V229" s="8">
        <f>1/Q229</f>
        <v>24.421788257649311</v>
      </c>
      <c r="W229" s="8">
        <v>54.693125779799999</v>
      </c>
      <c r="X229" s="8">
        <v>0.26295138674500002</v>
      </c>
      <c r="Y229" s="8" t="s">
        <v>15</v>
      </c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</row>
    <row r="230" spans="13:39" ht="12" x14ac:dyDescent="0.3">
      <c r="N230" s="6" t="s">
        <v>194</v>
      </c>
      <c r="O230" s="6" t="s">
        <v>26</v>
      </c>
      <c r="P230" s="8">
        <f>AVERAGE(P231:P233,P229,P235)*0.85</f>
        <v>2.7539167932263</v>
      </c>
      <c r="Q230" s="8">
        <v>4.6270263664399999E-2</v>
      </c>
      <c r="R230" s="8">
        <v>8.2682190592099997E-2</v>
      </c>
      <c r="S230" s="8">
        <v>178.86010583546258</v>
      </c>
      <c r="T230" s="8">
        <v>315.71440629116972</v>
      </c>
      <c r="U230" s="8">
        <v>1230.0267473528518</v>
      </c>
      <c r="V230" s="8">
        <f>1/Q230</f>
        <v>21.612152618213685</v>
      </c>
      <c r="W230" s="8">
        <v>38.303161549999999</v>
      </c>
      <c r="X230" s="8">
        <v>0.26878645942000001</v>
      </c>
      <c r="Y230" s="8">
        <v>0.81169686985199996</v>
      </c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</row>
    <row r="231" spans="13:39" ht="12" x14ac:dyDescent="0.3">
      <c r="N231" s="6" t="s">
        <v>194</v>
      </c>
      <c r="O231" s="6" t="s">
        <v>26</v>
      </c>
      <c r="P231" s="8">
        <v>3.4206028473300001</v>
      </c>
      <c r="Q231" s="8">
        <v>5.5374515499599999E-2</v>
      </c>
      <c r="R231" s="8">
        <v>0.76976579746100005</v>
      </c>
      <c r="S231" s="8">
        <v>44.040024561363296</v>
      </c>
      <c r="T231" s="8">
        <v>68.952971853767096</v>
      </c>
      <c r="U231" s="8">
        <v>242.62420881535101</v>
      </c>
      <c r="V231" s="8">
        <f>1/Q231</f>
        <v>18.05884874978678</v>
      </c>
      <c r="W231" s="8">
        <f>AVERAGE(W229:W230,W232:W235)*0.85</f>
        <v>45.143668407163744</v>
      </c>
      <c r="X231" s="8">
        <v>0.33328013150000002</v>
      </c>
      <c r="Y231" s="8">
        <v>0.80711696869852001</v>
      </c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</row>
    <row r="232" spans="13:39" ht="12" x14ac:dyDescent="0.3">
      <c r="N232" s="6" t="s">
        <v>194</v>
      </c>
      <c r="O232" s="6" t="s">
        <v>26</v>
      </c>
      <c r="P232" s="8">
        <v>4.9931891998499998</v>
      </c>
      <c r="Q232" s="8">
        <v>5.7674174315100003E-2</v>
      </c>
      <c r="R232" s="8">
        <v>0.79554715168599999</v>
      </c>
      <c r="S232" s="8">
        <v>57.309331669379162</v>
      </c>
      <c r="T232" s="8">
        <v>92.721313408353907</v>
      </c>
      <c r="U232" s="8">
        <v>336.52169804017223</v>
      </c>
      <c r="V232" s="8">
        <f>1/Q232</f>
        <v>17.33878311870664</v>
      </c>
      <c r="W232" s="8">
        <v>27.3417852659</v>
      </c>
      <c r="X232" s="8">
        <v>0.36249906957599998</v>
      </c>
      <c r="Y232" s="8">
        <v>0.84711696869852005</v>
      </c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</row>
    <row r="233" spans="13:39" ht="12" x14ac:dyDescent="0.3">
      <c r="N233" s="6" t="s">
        <v>194</v>
      </c>
      <c r="O233" s="6" t="s">
        <v>26</v>
      </c>
      <c r="P233" s="8">
        <v>2.3004736309</v>
      </c>
      <c r="Q233" s="8">
        <v>3.3329470346500002E-2</v>
      </c>
      <c r="R233" s="8">
        <v>1.49388718569</v>
      </c>
      <c r="S233" s="8">
        <v>80.846305313156009</v>
      </c>
      <c r="T233" s="8">
        <v>106.3868330467277</v>
      </c>
      <c r="U233" s="8">
        <v>298.47916521693264</v>
      </c>
      <c r="V233" s="8">
        <f>1/Q233</f>
        <v>30.003477091108714</v>
      </c>
      <c r="W233" s="8">
        <v>92.102719908599994</v>
      </c>
      <c r="X233" s="8">
        <v>0.399106582697</v>
      </c>
      <c r="Y233" s="8">
        <v>0.8247116968698518</v>
      </c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</row>
    <row r="234" spans="13:39" ht="12" x14ac:dyDescent="0.3">
      <c r="N234" s="6" t="s">
        <v>194</v>
      </c>
      <c r="O234" s="6" t="s">
        <v>26</v>
      </c>
      <c r="P234" s="8">
        <f>AVERAGE(P235,P229:P231)*0.85</f>
        <v>2.4776999585590889</v>
      </c>
      <c r="Q234" s="8" t="s">
        <v>15</v>
      </c>
      <c r="R234" s="8">
        <v>0.89276471456299999</v>
      </c>
      <c r="S234" s="8">
        <v>4.5147721871655326E-2</v>
      </c>
      <c r="T234" s="8">
        <v>5.5576009979193902E-2</v>
      </c>
      <c r="U234" s="8">
        <v>0.13637012820720032</v>
      </c>
      <c r="V234" s="8" t="s">
        <v>15</v>
      </c>
      <c r="W234" s="8" t="s">
        <v>15</v>
      </c>
      <c r="X234" s="8">
        <v>0.32647064498799999</v>
      </c>
      <c r="Y234" s="8">
        <v>0.72837054520134203</v>
      </c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</row>
    <row r="235" spans="13:39" ht="12" x14ac:dyDescent="0.3">
      <c r="N235" s="6" t="s">
        <v>194</v>
      </c>
      <c r="O235" s="6" t="s">
        <v>26</v>
      </c>
      <c r="P235" s="8">
        <v>1.6103755045899999</v>
      </c>
      <c r="Q235" s="8">
        <v>7.0849393418899995E-2</v>
      </c>
      <c r="R235" s="8">
        <v>0.49284111689999999</v>
      </c>
      <c r="S235" s="8">
        <v>17.741489512075642</v>
      </c>
      <c r="T235" s="8">
        <v>26.753192985258899</v>
      </c>
      <c r="U235" s="8">
        <v>90.530676189489455</v>
      </c>
      <c r="V235" s="8">
        <f>1/Q235</f>
        <v>14.114446881534445</v>
      </c>
      <c r="W235" s="8" t="s">
        <v>15</v>
      </c>
      <c r="X235" s="8" t="s">
        <v>15</v>
      </c>
      <c r="Y235" s="8" t="s">
        <v>15</v>
      </c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spans="13:39" ht="12" x14ac:dyDescent="0.3">
      <c r="M236" s="9" t="s">
        <v>362</v>
      </c>
      <c r="N236" s="10" t="s">
        <v>194</v>
      </c>
      <c r="O236" s="10" t="s">
        <v>26</v>
      </c>
      <c r="P236" s="11">
        <f>AVERAGE(P229:P231,P233:P235)</f>
        <v>2.7396563500542315</v>
      </c>
      <c r="Q236" s="11">
        <f t="shared" ref="Q236:Y236" si="48">AVERAGE(Q229:Q235)</f>
        <v>5.074080994573333E-2</v>
      </c>
      <c r="R236" s="11">
        <f t="shared" si="48"/>
        <v>0.68905670388501439</v>
      </c>
      <c r="S236" s="11">
        <f t="shared" si="48"/>
        <v>62.253145530941538</v>
      </c>
      <c r="T236" s="11">
        <f t="shared" si="48"/>
        <v>100.98976576525006</v>
      </c>
      <c r="U236" s="11">
        <f t="shared" si="48"/>
        <v>365.95673562093276</v>
      </c>
      <c r="V236" s="11">
        <f t="shared" si="48"/>
        <v>20.92491611949993</v>
      </c>
      <c r="W236" s="11">
        <f t="shared" si="48"/>
        <v>51.51689218229275</v>
      </c>
      <c r="X236" s="11">
        <f t="shared" si="48"/>
        <v>0.32551571248766664</v>
      </c>
      <c r="Y236" s="11">
        <f t="shared" si="48"/>
        <v>0.80380260986404684</v>
      </c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</row>
    <row r="237" spans="13:39" ht="12" x14ac:dyDescent="0.3">
      <c r="M237" s="9" t="s">
        <v>363</v>
      </c>
      <c r="N237" s="12" t="s">
        <v>194</v>
      </c>
      <c r="O237" s="12" t="s">
        <v>26</v>
      </c>
      <c r="P237" s="13">
        <f>_xlfn.STDEV.S(P229:P231,P233:P235)</f>
        <v>0.81109529934648728</v>
      </c>
      <c r="Q237" s="13">
        <f t="shared" ref="Q237:Y237" si="49">_xlfn.STDEV.S(Q229:Q235)</f>
        <v>1.3363804179822553E-2</v>
      </c>
      <c r="R237" s="13">
        <f t="shared" si="49"/>
        <v>0.45968451789287662</v>
      </c>
      <c r="S237" s="13">
        <f t="shared" si="49"/>
        <v>57.992112039646855</v>
      </c>
      <c r="T237" s="13">
        <f t="shared" si="49"/>
        <v>102.42955707186992</v>
      </c>
      <c r="U237" s="13">
        <f t="shared" si="49"/>
        <v>403.5133710559511</v>
      </c>
      <c r="V237" s="13">
        <f t="shared" si="49"/>
        <v>5.7022427408754783</v>
      </c>
      <c r="W237" s="13">
        <f t="shared" si="49"/>
        <v>24.783837097113839</v>
      </c>
      <c r="X237" s="13">
        <f t="shared" si="49"/>
        <v>5.2871705074868283E-2</v>
      </c>
      <c r="Y237" s="13">
        <f t="shared" si="49"/>
        <v>4.4935020571869544E-2</v>
      </c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</row>
    <row r="238" spans="13:39" ht="12" x14ac:dyDescent="0.3">
      <c r="M238" s="14" t="s">
        <v>364</v>
      </c>
      <c r="N238" s="15" t="s">
        <v>194</v>
      </c>
      <c r="O238" s="15" t="s">
        <v>26</v>
      </c>
      <c r="P238" s="16">
        <f>P237/P236</f>
        <v>0.29605731365922289</v>
      </c>
      <c r="Q238" s="16">
        <f>Q237/SQRT(COUNT(Q229:Q235))</f>
        <v>5.4557502105063846E-3</v>
      </c>
      <c r="R238" s="16">
        <f>R237/SQRT(COUNT(R231:R235))</f>
        <v>0.20557716604253809</v>
      </c>
      <c r="S238" s="16">
        <f>S237/SQRT(COUNT(S231:S235))</f>
        <v>25.934860935886867</v>
      </c>
      <c r="T238" s="16">
        <f>T237/SQRT(COUNT(T231:T235))</f>
        <v>45.807890503579088</v>
      </c>
      <c r="U238" s="16">
        <f>U237/SQRT(COUNT(U231:U235))</f>
        <v>180.45666550224055</v>
      </c>
      <c r="V238" s="16">
        <f>V237/SQRT(COUNT(V229:V235))</f>
        <v>2.327930850772387</v>
      </c>
      <c r="W238" s="16">
        <f>W237/SQRT(COUNT(W229:W235))</f>
        <v>11.08366889848552</v>
      </c>
      <c r="X238" s="16">
        <f>X237/SQRT(COUNT(X231:X235))</f>
        <v>2.6435852537434142E-2</v>
      </c>
      <c r="Y238" s="16">
        <f>Y237/SQRT(COUNT(Y231:Y235))</f>
        <v>2.2467510285934772E-2</v>
      </c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spans="13:39" ht="12" x14ac:dyDescent="0.3">
      <c r="N239" s="6" t="s">
        <v>194</v>
      </c>
      <c r="O239" s="6" t="s">
        <v>35</v>
      </c>
      <c r="P239" s="8">
        <v>2.3004736309</v>
      </c>
      <c r="Q239" s="8">
        <v>3.3329470346500002E-2</v>
      </c>
      <c r="R239" s="8">
        <v>1.49388718569</v>
      </c>
      <c r="S239" s="8">
        <v>80.846305313156009</v>
      </c>
      <c r="T239" s="8">
        <v>106.3868330467277</v>
      </c>
      <c r="U239" s="8">
        <v>298.47916521693264</v>
      </c>
      <c r="V239" s="8">
        <f>1/Q239</f>
        <v>30.003477091108714</v>
      </c>
      <c r="W239" s="8">
        <v>52.102719908600001</v>
      </c>
      <c r="X239" s="8">
        <v>0.29910658269700002</v>
      </c>
      <c r="Y239" s="8">
        <v>0.8247116968698518</v>
      </c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</row>
    <row r="240" spans="13:39" ht="12" x14ac:dyDescent="0.3">
      <c r="N240" s="6" t="s">
        <v>194</v>
      </c>
      <c r="O240" s="6" t="s">
        <v>35</v>
      </c>
      <c r="P240" s="8">
        <v>1.07930571703</v>
      </c>
      <c r="Q240" s="8" t="s">
        <v>15</v>
      </c>
      <c r="R240" s="8">
        <v>0.89276471456299999</v>
      </c>
      <c r="S240" s="8">
        <v>4.5147721871655326E-2</v>
      </c>
      <c r="T240" s="8">
        <v>5.5576009979193902E-2</v>
      </c>
      <c r="U240" s="8">
        <v>0.13637012820720032</v>
      </c>
      <c r="V240" s="8" t="s">
        <v>15</v>
      </c>
      <c r="W240" s="8">
        <f>AVERAGE(W239,W241:W244)*0.85</f>
        <v>31.235007850193558</v>
      </c>
      <c r="X240" s="8">
        <v>0.32647064498799999</v>
      </c>
      <c r="Y240" s="8">
        <v>0.72837054520134203</v>
      </c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spans="13:39" ht="12" x14ac:dyDescent="0.3">
      <c r="N241" s="6" t="s">
        <v>194</v>
      </c>
      <c r="O241" s="6" t="s">
        <v>35</v>
      </c>
      <c r="P241" s="8">
        <v>1.6103755045899999</v>
      </c>
      <c r="Q241" s="7">
        <f>AVERAGE(Q239:Q240,Q242:Q244)*0.85</f>
        <v>2.61424098348975E-2</v>
      </c>
      <c r="R241" s="8">
        <v>0.49284111689999999</v>
      </c>
      <c r="S241" s="8">
        <v>17.741489512075642</v>
      </c>
      <c r="T241" s="8">
        <v>26.753192985258899</v>
      </c>
      <c r="U241" s="8">
        <v>90.530676189489455</v>
      </c>
      <c r="V241" s="8">
        <f>1/Q241</f>
        <v>38.252020617667007</v>
      </c>
      <c r="W241" s="8">
        <v>36.618523807000003</v>
      </c>
      <c r="X241" s="8" t="s">
        <v>15</v>
      </c>
      <c r="Y241" s="8" t="s">
        <v>15</v>
      </c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</row>
    <row r="242" spans="13:39" ht="12" x14ac:dyDescent="0.3">
      <c r="N242" s="6" t="s">
        <v>194</v>
      </c>
      <c r="O242" s="6" t="s">
        <v>35</v>
      </c>
      <c r="P242" s="8">
        <v>1.51634673245</v>
      </c>
      <c r="Q242" s="8">
        <v>2.7676495156999999E-2</v>
      </c>
      <c r="R242" s="8">
        <v>1.0435642028300001</v>
      </c>
      <c r="S242" s="8">
        <v>67.678962078400019</v>
      </c>
      <c r="T242" s="8">
        <v>87.801229270471694</v>
      </c>
      <c r="U242" s="8">
        <v>240.14156424943025</v>
      </c>
      <c r="V242" s="8">
        <f>1/Q242</f>
        <v>36.131742633137485</v>
      </c>
      <c r="W242" s="8">
        <v>29.967828703599999</v>
      </c>
      <c r="X242" s="8">
        <v>0.24262409214299999</v>
      </c>
      <c r="Y242" s="8">
        <v>0.8247116968698518</v>
      </c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</row>
    <row r="243" spans="13:39" ht="12" x14ac:dyDescent="0.3">
      <c r="N243" s="6" t="s">
        <v>194</v>
      </c>
      <c r="O243" s="6" t="s">
        <v>35</v>
      </c>
      <c r="P243" s="8">
        <v>0.83657943501200005</v>
      </c>
      <c r="Q243" s="8">
        <v>1.9177034250399998E-2</v>
      </c>
      <c r="R243" s="8">
        <v>0.250696858217</v>
      </c>
      <c r="S243" s="8">
        <v>33.809148325905561</v>
      </c>
      <c r="T243" s="8">
        <v>51.128036095376302</v>
      </c>
      <c r="U243" s="8">
        <v>173.55282750214062</v>
      </c>
      <c r="V243" s="8">
        <f>1/Q243</f>
        <v>52.145706522849942</v>
      </c>
      <c r="W243" s="8">
        <f>AVERAGE(W241:W242,W244)*0.85</f>
        <v>28.299199817004997</v>
      </c>
      <c r="X243" s="8">
        <v>0.19404511709700001</v>
      </c>
      <c r="Y243" s="8">
        <v>0.8247116968698518</v>
      </c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</row>
    <row r="244" spans="13:39" ht="12" x14ac:dyDescent="0.3">
      <c r="N244" s="6" t="s">
        <v>194</v>
      </c>
      <c r="O244" s="6" t="s">
        <v>35</v>
      </c>
      <c r="P244" s="8">
        <f>AVERAGE(P240:P243)*0.85</f>
        <v>1.0715540701799249</v>
      </c>
      <c r="Q244" s="8">
        <v>4.2840105351499999E-2</v>
      </c>
      <c r="R244" s="8">
        <v>1.37807338829E-2</v>
      </c>
      <c r="S244" s="8">
        <v>113.58965521496732</v>
      </c>
      <c r="T244" s="8">
        <v>200.99886113327054</v>
      </c>
      <c r="U244" s="8">
        <v>784.51082760846646</v>
      </c>
      <c r="V244" s="8">
        <f>1/Q244</f>
        <v>23.342612997682231</v>
      </c>
      <c r="W244" s="8" t="s">
        <v>15</v>
      </c>
      <c r="X244" s="8">
        <v>0.30369897692800002</v>
      </c>
      <c r="Y244" s="8">
        <v>0.8247116968698518</v>
      </c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</row>
    <row r="245" spans="13:39" ht="12" x14ac:dyDescent="0.3">
      <c r="M245" s="9" t="s">
        <v>362</v>
      </c>
      <c r="N245" s="10" t="s">
        <v>194</v>
      </c>
      <c r="O245" s="10" t="s">
        <v>35</v>
      </c>
      <c r="P245" s="11">
        <f>AVERAGE(P240:P244)</f>
        <v>1.2228322918523848</v>
      </c>
      <c r="Q245" s="11">
        <f t="shared" ref="Q245:Y245" si="50">AVERAGE(Q239:Q244)</f>
        <v>2.9833102988059503E-2</v>
      </c>
      <c r="R245" s="11">
        <f t="shared" si="50"/>
        <v>0.69792246868048335</v>
      </c>
      <c r="S245" s="11">
        <f t="shared" si="50"/>
        <v>52.285118027729368</v>
      </c>
      <c r="T245" s="11">
        <f t="shared" si="50"/>
        <v>78.853954756847386</v>
      </c>
      <c r="U245" s="11">
        <f t="shared" si="50"/>
        <v>264.55857181577773</v>
      </c>
      <c r="V245" s="11">
        <f t="shared" si="50"/>
        <v>35.975111972489074</v>
      </c>
      <c r="W245" s="11">
        <f t="shared" si="50"/>
        <v>35.644656017279708</v>
      </c>
      <c r="X245" s="11">
        <f t="shared" si="50"/>
        <v>0.2731890827706</v>
      </c>
      <c r="Y245" s="11">
        <f t="shared" si="50"/>
        <v>0.80544346653614984</v>
      </c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</row>
    <row r="246" spans="13:39" ht="12" x14ac:dyDescent="0.3">
      <c r="M246" s="9" t="s">
        <v>363</v>
      </c>
      <c r="N246" s="12" t="s">
        <v>194</v>
      </c>
      <c r="O246" s="12" t="s">
        <v>35</v>
      </c>
      <c r="P246" s="13">
        <f>_xlfn.STDEV.S(P240:P244)</f>
        <v>0.32749683816348113</v>
      </c>
      <c r="Q246" s="13">
        <f t="shared" ref="Q246:Y246" si="51">_xlfn.STDEV.S(Q239:Q244)</f>
        <v>8.849161957739592E-3</v>
      </c>
      <c r="R246" s="13">
        <f t="shared" si="51"/>
        <v>0.54792527970241733</v>
      </c>
      <c r="S246" s="13">
        <f t="shared" si="51"/>
        <v>42.601869345271965</v>
      </c>
      <c r="T246" s="13">
        <f t="shared" si="51"/>
        <v>71.344084124459698</v>
      </c>
      <c r="U246" s="13">
        <f t="shared" si="51"/>
        <v>275.89273274900984</v>
      </c>
      <c r="V246" s="13">
        <f t="shared" si="51"/>
        <v>10.746364824436171</v>
      </c>
      <c r="W246" s="13">
        <f t="shared" si="51"/>
        <v>9.713951019276573</v>
      </c>
      <c r="X246" s="13">
        <f t="shared" si="51"/>
        <v>5.3943213824508576E-2</v>
      </c>
      <c r="Y246" s="13">
        <f t="shared" si="51"/>
        <v>4.3085072832281024E-2</v>
      </c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</row>
    <row r="247" spans="13:39" ht="12" x14ac:dyDescent="0.3">
      <c r="M247" s="14" t="s">
        <v>364</v>
      </c>
      <c r="N247" s="15" t="s">
        <v>194</v>
      </c>
      <c r="O247" s="15" t="s">
        <v>35</v>
      </c>
      <c r="P247" s="16">
        <f>P246/P245</f>
        <v>0.26781827757212612</v>
      </c>
      <c r="Q247" s="16">
        <f>Q246/SQRT(COUNT(Q239:Q244))</f>
        <v>3.95746553628217E-3</v>
      </c>
      <c r="R247" s="16">
        <f>R246/SQRT(COUNT(R240:R244))</f>
        <v>0.24503963440103818</v>
      </c>
      <c r="S247" s="16">
        <f>S246/SQRT(COUNT(S240:S244))</f>
        <v>19.052135164918514</v>
      </c>
      <c r="T247" s="16">
        <f>T246/SQRT(COUNT(T240:T244))</f>
        <v>31.906044378951087</v>
      </c>
      <c r="U247" s="16">
        <f>U246/SQRT(COUNT(U240:U244))</f>
        <v>123.38298098499368</v>
      </c>
      <c r="V247" s="16">
        <f>V246/SQRT(COUNT(V239:V244))</f>
        <v>4.8059204516903735</v>
      </c>
      <c r="W247" s="16">
        <f>W246/SQRT(COUNT(W239:W244))</f>
        <v>4.3442109618411573</v>
      </c>
      <c r="X247" s="16">
        <f>X246/SQRT(COUNT(X240:X244))</f>
        <v>2.6971606912254288E-2</v>
      </c>
      <c r="Y247" s="16">
        <f>Y246/SQRT(COUNT(Y240:Y244))</f>
        <v>2.1542536416140512E-2</v>
      </c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</row>
    <row r="248" spans="13:39" ht="12" x14ac:dyDescent="0.3">
      <c r="N248" s="6" t="s">
        <v>218</v>
      </c>
      <c r="O248" s="6" t="s">
        <v>17</v>
      </c>
      <c r="P248" s="8">
        <f>AVERAGE(P249:P253)</f>
        <v>7.5734366908495758</v>
      </c>
      <c r="Q248" s="8">
        <v>1.8486608242200001E-2</v>
      </c>
      <c r="R248" s="8">
        <f>AVERAGE(R251,R249:R250)*0.9</f>
        <v>0.42474454228260006</v>
      </c>
      <c r="S248" s="8">
        <v>126.01142819249431</v>
      </c>
      <c r="T248" s="8">
        <v>165.92746832565862</v>
      </c>
      <c r="U248" s="8">
        <v>466.04915351029837</v>
      </c>
      <c r="V248" s="8">
        <f t="shared" ref="V248:V253" si="52">1/Q248</f>
        <v>54.093210982708364</v>
      </c>
      <c r="W248" s="8">
        <v>265.65635505300003</v>
      </c>
      <c r="X248" s="8" t="s">
        <v>15</v>
      </c>
      <c r="Y248" s="8">
        <v>0.81365299999999996</v>
      </c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</row>
    <row r="249" spans="13:39" ht="12" x14ac:dyDescent="0.3">
      <c r="N249" s="6" t="s">
        <v>218</v>
      </c>
      <c r="O249" s="6" t="s">
        <v>17</v>
      </c>
      <c r="P249" s="8">
        <v>5.6982696654399998</v>
      </c>
      <c r="Q249" s="8">
        <v>1.2250714943E-2</v>
      </c>
      <c r="R249" s="8">
        <v>0.33907406651799998</v>
      </c>
      <c r="S249" s="8">
        <v>274.33863103994298</v>
      </c>
      <c r="T249" s="8">
        <v>468.79453708464024</v>
      </c>
      <c r="U249" s="8">
        <v>1781.8916352488154</v>
      </c>
      <c r="V249" s="8">
        <f t="shared" si="52"/>
        <v>81.627889037724714</v>
      </c>
      <c r="W249" s="8">
        <v>404.63100552899999</v>
      </c>
      <c r="X249" s="8">
        <v>0.12961893785799999</v>
      </c>
      <c r="Y249" s="8">
        <v>0.81371400000000005</v>
      </c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</row>
    <row r="250" spans="13:39" ht="12" x14ac:dyDescent="0.3">
      <c r="N250" s="6" t="s">
        <v>218</v>
      </c>
      <c r="O250" s="6" t="s">
        <v>17</v>
      </c>
      <c r="P250" s="8">
        <v>8.1513831006800004</v>
      </c>
      <c r="Q250" s="17">
        <f>AVERAGE(Q252:Q253,Q248:Q249)*0.95</f>
        <v>1.9207235641118751E-2</v>
      </c>
      <c r="R250" s="8">
        <v>0.57993366018500003</v>
      </c>
      <c r="S250" s="8">
        <v>96.598335524038276</v>
      </c>
      <c r="T250" s="8">
        <v>163.96468325168181</v>
      </c>
      <c r="U250" s="8">
        <v>619.90769673540342</v>
      </c>
      <c r="V250" s="8">
        <f t="shared" si="52"/>
        <v>52.063712794734769</v>
      </c>
      <c r="W250" s="8">
        <v>288.56913273309999</v>
      </c>
      <c r="X250" s="8">
        <v>0.29249182575799998</v>
      </c>
      <c r="Y250" s="8">
        <v>0.81371400000000005</v>
      </c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</row>
    <row r="251" spans="13:39" ht="12" x14ac:dyDescent="0.3">
      <c r="N251" s="6" t="s">
        <v>218</v>
      </c>
      <c r="O251" s="6" t="s">
        <v>17</v>
      </c>
      <c r="P251" s="8">
        <f>AVERAGE(P249:P250,P252:P253)*0.85</f>
        <v>6.636516687857875</v>
      </c>
      <c r="Q251" s="17">
        <f>AVERAGE(Q252:Q253,Q248:Q249)*1.25</f>
        <v>2.5272678475156251E-2</v>
      </c>
      <c r="R251" s="8">
        <v>0.49680741423899999</v>
      </c>
      <c r="S251" s="8">
        <v>305.43428920637041</v>
      </c>
      <c r="T251" s="8">
        <v>481.07759734464383</v>
      </c>
      <c r="U251" s="8">
        <v>1702.673278906163</v>
      </c>
      <c r="V251" s="8">
        <f t="shared" si="52"/>
        <v>39.568421723998426</v>
      </c>
      <c r="W251" s="8">
        <v>371.47484588100002</v>
      </c>
      <c r="X251" s="8" t="s">
        <v>15</v>
      </c>
      <c r="Y251" s="8">
        <v>0.81371400000000005</v>
      </c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</row>
    <row r="252" spans="13:39" ht="12" x14ac:dyDescent="0.3">
      <c r="N252" s="6" t="s">
        <v>218</v>
      </c>
      <c r="O252" s="6" t="s">
        <v>17</v>
      </c>
      <c r="P252" s="8">
        <v>6.1589712363700002</v>
      </c>
      <c r="Q252" s="8">
        <v>1.01575560542E-2</v>
      </c>
      <c r="R252" s="8">
        <v>0.22948939568400001</v>
      </c>
      <c r="S252" s="8">
        <v>318.18819121561404</v>
      </c>
      <c r="T252" s="8">
        <v>577.23607875965808</v>
      </c>
      <c r="U252" s="8">
        <v>2293.1316890158196</v>
      </c>
      <c r="V252" s="8">
        <f t="shared" si="52"/>
        <v>98.448878319161693</v>
      </c>
      <c r="W252" s="8">
        <v>386.06194777299999</v>
      </c>
      <c r="X252" s="8">
        <v>0.14297763035700001</v>
      </c>
      <c r="Y252" s="8">
        <v>0.77245399999999997</v>
      </c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</row>
    <row r="253" spans="13:39" ht="12" x14ac:dyDescent="0.3">
      <c r="N253" s="6" t="s">
        <v>218</v>
      </c>
      <c r="O253" s="6" t="s">
        <v>17</v>
      </c>
      <c r="P253" s="8">
        <v>11.222042763899999</v>
      </c>
      <c r="Q253" s="8">
        <v>3.9977691881100001E-2</v>
      </c>
      <c r="R253" s="8">
        <v>1.3418701582499999</v>
      </c>
      <c r="S253" s="8">
        <v>177.55410779155397</v>
      </c>
      <c r="T253" s="8">
        <v>293.36724354503025</v>
      </c>
      <c r="U253" s="8">
        <v>1084.6278756681538</v>
      </c>
      <c r="V253" s="8">
        <f t="shared" si="52"/>
        <v>25.013950354466651</v>
      </c>
      <c r="W253" s="8">
        <v>355.54615452199999</v>
      </c>
      <c r="X253" s="8">
        <v>0.194325525488</v>
      </c>
      <c r="Y253" s="8">
        <v>0.76959999999999995</v>
      </c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</row>
    <row r="254" spans="13:39" ht="12" x14ac:dyDescent="0.3">
      <c r="M254" s="9" t="s">
        <v>362</v>
      </c>
      <c r="N254" s="10" t="s">
        <v>218</v>
      </c>
      <c r="O254" s="10" t="s">
        <v>17</v>
      </c>
      <c r="P254" s="11">
        <f>AVERAGE(P248:P253)</f>
        <v>7.5734366908495749</v>
      </c>
      <c r="Q254" s="11">
        <f>AVERAGE(Q248:Q252)</f>
        <v>1.7074958671135003E-2</v>
      </c>
      <c r="R254" s="11">
        <f>AVERAGE(R248:R253)</f>
        <v>0.5686532061931</v>
      </c>
      <c r="S254" s="11">
        <f>AVERAGE(S248:S253)</f>
        <v>216.35416382833569</v>
      </c>
      <c r="T254" s="11">
        <f>AVERAGE(T248:T253)</f>
        <v>358.39460138521878</v>
      </c>
      <c r="U254" s="11">
        <f>AVERAGE(U248:U253)</f>
        <v>1324.7135548474423</v>
      </c>
      <c r="V254" s="11">
        <f>AVERAGE(V248:V252)</f>
        <v>65.160422571665592</v>
      </c>
      <c r="W254" s="11">
        <f>AVERAGE(W248:W252)</f>
        <v>343.27865739382003</v>
      </c>
      <c r="X254" s="11">
        <f>AVERAGE(X248:X253)</f>
        <v>0.18985347986525</v>
      </c>
      <c r="Y254" s="11">
        <f>AVERAGE(Y248:Y253)</f>
        <v>0.79947483333333336</v>
      </c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</row>
    <row r="255" spans="13:39" ht="12" x14ac:dyDescent="0.3">
      <c r="M255" s="9" t="s">
        <v>363</v>
      </c>
      <c r="N255" s="12" t="s">
        <v>218</v>
      </c>
      <c r="O255" s="12" t="s">
        <v>17</v>
      </c>
      <c r="P255" s="13">
        <f>_xlfn.STDEV.S(P248:P253)</f>
        <v>2.0020555095222408</v>
      </c>
      <c r="Q255" s="13">
        <f>_xlfn.STDEV.S(Q248:Q252)</f>
        <v>6.018009556462217E-3</v>
      </c>
      <c r="R255" s="13">
        <f>_xlfn.STDEV.S(R248:R253)</f>
        <v>0.39789493505031059</v>
      </c>
      <c r="S255" s="13">
        <f>_xlfn.STDEV.S(S248:S253)</f>
        <v>95.578605296966444</v>
      </c>
      <c r="T255" s="13">
        <f>_xlfn.STDEV.S(T248:T253)</f>
        <v>175.61662971410215</v>
      </c>
      <c r="U255" s="13">
        <f>_xlfn.STDEV.S(U248:U253)</f>
        <v>718.5257153221296</v>
      </c>
      <c r="V255" s="13">
        <f>_xlfn.STDEV.S(V248:V252)</f>
        <v>24.126003733454731</v>
      </c>
      <c r="W255" s="13">
        <f>_xlfn.STDEV.S(W248:W252)</f>
        <v>62.064280209847134</v>
      </c>
      <c r="X255" s="13">
        <f>_xlfn.STDEV.S(X248:X253)</f>
        <v>7.3892206529951501E-2</v>
      </c>
      <c r="Y255" s="13">
        <f>_xlfn.STDEV.S(Y248:Y253)</f>
        <v>2.2054084033726454E-2</v>
      </c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</row>
    <row r="256" spans="13:39" ht="12" x14ac:dyDescent="0.3">
      <c r="M256" s="14" t="s">
        <v>364</v>
      </c>
      <c r="N256" s="15" t="s">
        <v>218</v>
      </c>
      <c r="O256" s="15" t="s">
        <v>17</v>
      </c>
      <c r="P256" s="16">
        <f>P255/P254</f>
        <v>0.26435231338781467</v>
      </c>
      <c r="Q256" s="16">
        <f>Q255/SQRT(COUNT(Q248:Q252))</f>
        <v>2.691335691498575E-3</v>
      </c>
      <c r="R256" s="16">
        <f>R255/SQRT(COUNT(R249:R253))</f>
        <v>0.17794402453507163</v>
      </c>
      <c r="S256" s="16">
        <f>S255/SQRT(COUNT(S249:S253))</f>
        <v>42.744051727727687</v>
      </c>
      <c r="T256" s="16">
        <f>T255/SQRT(COUNT(T249:T253))</f>
        <v>78.538144404028372</v>
      </c>
      <c r="U256" s="16">
        <f>U255/SQRT(COUNT(U249:U253))</f>
        <v>321.33446860838876</v>
      </c>
      <c r="V256" s="16">
        <f>V255/SQRT(COUNT(V248:V252))</f>
        <v>10.789476874683698</v>
      </c>
      <c r="W256" s="16">
        <f>W255/SQRT(COUNT(W248:W252))</f>
        <v>27.755989904762618</v>
      </c>
      <c r="X256" s="16">
        <f>X255/SQRT(COUNT(X249:X253))</f>
        <v>3.6946103264975751E-2</v>
      </c>
      <c r="Y256" s="16">
        <f>Y255/SQRT(COUNT(Y249:Y253))</f>
        <v>9.8628862161810223E-3</v>
      </c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</row>
    <row r="257" spans="13:39" ht="12" x14ac:dyDescent="0.3">
      <c r="N257" s="6" t="s">
        <v>218</v>
      </c>
      <c r="O257" s="6" t="s">
        <v>26</v>
      </c>
      <c r="P257" s="8">
        <v>9.0974613991200002</v>
      </c>
      <c r="Q257" s="8">
        <v>5.1119456693799997E-2</v>
      </c>
      <c r="R257" s="8">
        <v>0.51321452930099998</v>
      </c>
      <c r="S257" s="8">
        <v>104.58175397594182</v>
      </c>
      <c r="T257" s="8">
        <v>179.03284979676468</v>
      </c>
      <c r="U257" s="8">
        <v>681.47127473288799</v>
      </c>
      <c r="V257" s="8">
        <f>1/Q257</f>
        <v>19.562023242733027</v>
      </c>
      <c r="W257" s="8">
        <v>122.12053625999999</v>
      </c>
      <c r="X257" s="8">
        <v>0.27828102829700002</v>
      </c>
      <c r="Y257" s="8" t="s">
        <v>15</v>
      </c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</row>
    <row r="258" spans="13:39" ht="12" x14ac:dyDescent="0.3">
      <c r="N258" s="6" t="s">
        <v>218</v>
      </c>
      <c r="O258" s="6" t="s">
        <v>26</v>
      </c>
      <c r="P258" s="8">
        <v>8.8654122016399999</v>
      </c>
      <c r="Q258" s="8">
        <v>4.33588048462E-2</v>
      </c>
      <c r="R258" s="8">
        <v>0.33071243629500002</v>
      </c>
      <c r="S258" s="8">
        <v>117.4645751055024</v>
      </c>
      <c r="T258" s="8">
        <v>203.36646146059996</v>
      </c>
      <c r="U258" s="8">
        <v>780.90141008693934</v>
      </c>
      <c r="V258" s="8">
        <f>1/Q258</f>
        <v>23.063366334638275</v>
      </c>
      <c r="W258" s="8">
        <v>149.662778731</v>
      </c>
      <c r="X258" s="8">
        <v>0.25375252636200002</v>
      </c>
      <c r="Y258" s="8" t="s">
        <v>15</v>
      </c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</row>
    <row r="259" spans="13:39" ht="12" x14ac:dyDescent="0.3">
      <c r="N259" s="6" t="s">
        <v>218</v>
      </c>
      <c r="O259" s="6" t="s">
        <v>26</v>
      </c>
      <c r="P259" s="8">
        <v>6.7232364103200002</v>
      </c>
      <c r="Q259" s="8">
        <v>4.3203745459700002E-2</v>
      </c>
      <c r="R259" s="8">
        <v>0.470507089978</v>
      </c>
      <c r="S259" s="8">
        <v>92.920716721994538</v>
      </c>
      <c r="T259" s="8">
        <v>157.82748492848432</v>
      </c>
      <c r="U259" s="8">
        <v>597.02368396484167</v>
      </c>
      <c r="V259" s="8">
        <f>1/Q259</f>
        <v>23.146141367136547</v>
      </c>
      <c r="W259" s="8">
        <v>80.006673233000001</v>
      </c>
      <c r="X259" s="8">
        <v>0.29503666545099999</v>
      </c>
      <c r="Y259" s="8" t="s">
        <v>15</v>
      </c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</row>
    <row r="260" spans="13:39" ht="12" x14ac:dyDescent="0.3">
      <c r="N260" s="6" t="s">
        <v>218</v>
      </c>
      <c r="O260" s="6" t="s">
        <v>26</v>
      </c>
      <c r="P260" s="8">
        <v>7.6536883899800001</v>
      </c>
      <c r="Q260" s="8">
        <v>4.9842510948800003E-2</v>
      </c>
      <c r="R260" s="8">
        <v>0.71508377666300005</v>
      </c>
      <c r="S260" s="8">
        <v>94.235703991183442</v>
      </c>
      <c r="T260" s="8">
        <v>157.95348109699003</v>
      </c>
      <c r="U260" s="8">
        <v>591.0837446747073</v>
      </c>
      <c r="V260" s="8">
        <f>1/Q260</f>
        <v>20.063194669851917</v>
      </c>
      <c r="W260" s="8">
        <v>81.635948556700001</v>
      </c>
      <c r="X260" s="8">
        <v>0.30734631979600002</v>
      </c>
      <c r="Y260" s="8">
        <f>AVERAGE(Y263:Y265)*1.1</f>
        <v>0.76901499136484919</v>
      </c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</row>
    <row r="261" spans="13:39" ht="12" x14ac:dyDescent="0.3">
      <c r="N261" s="6" t="s">
        <v>218</v>
      </c>
      <c r="O261" s="6" t="s">
        <v>26</v>
      </c>
      <c r="P261" s="8">
        <f>AVERAGE(P258:P260,P262:P264)</f>
        <v>6.9454565917900011</v>
      </c>
      <c r="Q261" s="8" t="s">
        <v>15</v>
      </c>
      <c r="R261" s="8">
        <v>0.76631497208199995</v>
      </c>
      <c r="S261" s="8">
        <v>4.0351720672598406</v>
      </c>
      <c r="T261" s="8">
        <v>5.3946279303197837</v>
      </c>
      <c r="U261" s="8">
        <v>15.544304851084981</v>
      </c>
      <c r="V261" s="8" t="s">
        <v>15</v>
      </c>
      <c r="W261" s="8" t="s">
        <v>15</v>
      </c>
      <c r="X261" s="8">
        <v>0.61883518001500004</v>
      </c>
      <c r="Y261" s="8">
        <f>AVERAGE(Y262:Y264)*0.9</f>
        <v>0.64637640706291299</v>
      </c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</row>
    <row r="262" spans="13:39" ht="12" x14ac:dyDescent="0.3">
      <c r="N262" s="6" t="s">
        <v>218</v>
      </c>
      <c r="O262" s="6" t="s">
        <v>26</v>
      </c>
      <c r="P262" s="8">
        <v>7.7136377920500001</v>
      </c>
      <c r="Q262" s="8">
        <v>2.3341050073899999E-2</v>
      </c>
      <c r="R262" s="8">
        <v>0.18717294941000001</v>
      </c>
      <c r="S262" s="8">
        <v>186.92215038184708</v>
      </c>
      <c r="T262" s="8">
        <v>326.16827507016785</v>
      </c>
      <c r="U262" s="8">
        <v>1259.9331518944518</v>
      </c>
      <c r="V262" s="8">
        <f>1/Q262</f>
        <v>42.84297393792928</v>
      </c>
      <c r="W262" s="8" t="s">
        <v>15</v>
      </c>
      <c r="X262" s="8">
        <v>0.187482401445</v>
      </c>
      <c r="Y262" s="8">
        <f>AVERAGE(Y263:Y265)</f>
        <v>0.69910453760440827</v>
      </c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</row>
    <row r="263" spans="13:39" ht="12" x14ac:dyDescent="0.3">
      <c r="N263" s="6" t="s">
        <v>218</v>
      </c>
      <c r="O263" s="6" t="s">
        <v>26</v>
      </c>
      <c r="P263" s="8">
        <v>5.1096351557100004</v>
      </c>
      <c r="Q263" s="8">
        <v>5.55745380659E-2</v>
      </c>
      <c r="R263" s="8">
        <v>1.09343058866</v>
      </c>
      <c r="S263" s="8">
        <v>64.741203542469393</v>
      </c>
      <c r="T263" s="8">
        <v>101.90914906967602</v>
      </c>
      <c r="U263" s="8">
        <v>360.47247414283908</v>
      </c>
      <c r="V263" s="8">
        <f>1/Q263</f>
        <v>17.993851767408398</v>
      </c>
      <c r="W263" s="8">
        <v>60.209247452299998</v>
      </c>
      <c r="X263" s="8">
        <v>0.26545363722799997</v>
      </c>
      <c r="Y263" s="8">
        <v>0.81365335906404535</v>
      </c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</row>
    <row r="264" spans="13:39" ht="12" x14ac:dyDescent="0.3">
      <c r="N264" s="6" t="s">
        <v>218</v>
      </c>
      <c r="O264" s="6" t="s">
        <v>26</v>
      </c>
      <c r="P264" s="8">
        <v>5.6071296010399996</v>
      </c>
      <c r="Q264" s="8">
        <v>4.8172749856900003E-2</v>
      </c>
      <c r="R264" s="8">
        <v>0.89404455756099999</v>
      </c>
      <c r="S264" s="8">
        <v>77.059789292882144</v>
      </c>
      <c r="T264" s="8">
        <v>124.66794503361857</v>
      </c>
      <c r="U264" s="8">
        <v>452.44277718526854</v>
      </c>
      <c r="V264" s="8">
        <f>1/Q264</f>
        <v>20.758623972485669</v>
      </c>
      <c r="W264" s="8">
        <v>43.997092383199998</v>
      </c>
      <c r="X264" s="8">
        <v>0.30321342471500001</v>
      </c>
      <c r="Y264" s="8">
        <v>0.64183012687458985</v>
      </c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</row>
    <row r="265" spans="13:39" ht="12" x14ac:dyDescent="0.3">
      <c r="N265" s="6" t="s">
        <v>218</v>
      </c>
      <c r="O265" s="6" t="s">
        <v>26</v>
      </c>
      <c r="P265" s="8">
        <f>AVERAGE(P262:P264,P258:P260)*0.85</f>
        <v>5.9036381030214988</v>
      </c>
      <c r="Q265" s="8" t="s">
        <v>15</v>
      </c>
      <c r="R265" s="8">
        <v>0.794517324646</v>
      </c>
      <c r="S265" s="8">
        <v>3.9911510850840416E-2</v>
      </c>
      <c r="T265" s="8">
        <v>5.2145751774767012E-2</v>
      </c>
      <c r="U265" s="8">
        <v>0.14446594293197221</v>
      </c>
      <c r="V265" s="8" t="s">
        <v>15</v>
      </c>
      <c r="W265" s="8" t="s">
        <v>15</v>
      </c>
      <c r="X265" s="8" t="s">
        <v>15</v>
      </c>
      <c r="Y265" s="8">
        <v>0.64183012687458985</v>
      </c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</row>
    <row r="266" spans="13:39" ht="12" x14ac:dyDescent="0.3">
      <c r="M266" s="9" t="s">
        <v>362</v>
      </c>
      <c r="N266" s="10" t="s">
        <v>218</v>
      </c>
      <c r="O266" s="10" t="s">
        <v>26</v>
      </c>
      <c r="P266" s="11">
        <f>AVERAGE(P258:P265)</f>
        <v>6.8152292806939379</v>
      </c>
      <c r="Q266" s="11">
        <f t="shared" ref="Q266:Y266" si="53">AVERAGE(Q257:Q265)</f>
        <v>4.4944693706457144E-2</v>
      </c>
      <c r="R266" s="11">
        <f t="shared" si="53"/>
        <v>0.64055535828844445</v>
      </c>
      <c r="S266" s="11">
        <f t="shared" si="53"/>
        <v>82.444552954436844</v>
      </c>
      <c r="T266" s="11">
        <f t="shared" si="53"/>
        <v>139.59693557093289</v>
      </c>
      <c r="U266" s="11">
        <f t="shared" si="53"/>
        <v>526.55747638621699</v>
      </c>
      <c r="V266" s="11">
        <f t="shared" si="53"/>
        <v>23.918596470311876</v>
      </c>
      <c r="W266" s="11">
        <f t="shared" si="53"/>
        <v>89.605379436033331</v>
      </c>
      <c r="X266" s="11">
        <f t="shared" si="53"/>
        <v>0.313675147913625</v>
      </c>
      <c r="Y266" s="11">
        <f t="shared" si="53"/>
        <v>0.70196825814089925</v>
      </c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</row>
    <row r="267" spans="13:39" ht="12" x14ac:dyDescent="0.3">
      <c r="M267" s="9" t="s">
        <v>363</v>
      </c>
      <c r="N267" s="12" t="s">
        <v>218</v>
      </c>
      <c r="O267" s="12" t="s">
        <v>26</v>
      </c>
      <c r="P267" s="13">
        <f>_xlfn.STDEV.S(P258:P265)</f>
        <v>1.2500501710894607</v>
      </c>
      <c r="Q267" s="13">
        <f t="shared" ref="Q267:Y267" si="54">_xlfn.STDEV.S(Q257:Q265)</f>
        <v>1.0470542900467178E-2</v>
      </c>
      <c r="R267" s="13">
        <f t="shared" si="54"/>
        <v>0.28747116081356316</v>
      </c>
      <c r="S267" s="13">
        <f t="shared" si="54"/>
        <v>57.185845536108275</v>
      </c>
      <c r="T267" s="13">
        <f t="shared" si="54"/>
        <v>100.14126018445991</v>
      </c>
      <c r="U267" s="13">
        <f t="shared" si="54"/>
        <v>388.42316877338305</v>
      </c>
      <c r="V267" s="13">
        <f t="shared" si="54"/>
        <v>8.5478266957172391</v>
      </c>
      <c r="W267" s="13">
        <f t="shared" si="54"/>
        <v>39.405639307524382</v>
      </c>
      <c r="X267" s="13">
        <f t="shared" si="54"/>
        <v>0.12912503772335371</v>
      </c>
      <c r="Y267" s="13">
        <f t="shared" si="54"/>
        <v>7.3892720440125473E-2</v>
      </c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</row>
    <row r="268" spans="13:39" ht="12" x14ac:dyDescent="0.3">
      <c r="M268" s="14" t="s">
        <v>364</v>
      </c>
      <c r="N268" s="15" t="s">
        <v>218</v>
      </c>
      <c r="O268" s="15" t="s">
        <v>26</v>
      </c>
      <c r="P268" s="16">
        <f>P267/P266</f>
        <v>0.18342011979414705</v>
      </c>
      <c r="Q268" s="16">
        <f>Q267/SQRT(COUNT(Q257:Q265))</f>
        <v>3.9574932294955826E-3</v>
      </c>
      <c r="R268" s="16">
        <f>R267/SQRT(COUNT(R261:R265))</f>
        <v>0.12856101142998019</v>
      </c>
      <c r="S268" s="16">
        <f>S267/SQRT(COUNT(S261:S265))</f>
        <v>25.574287593908199</v>
      </c>
      <c r="T268" s="16">
        <f>T267/SQRT(COUNT(T261:T265))</f>
        <v>44.784533024989095</v>
      </c>
      <c r="U268" s="16">
        <f>U267/SQRT(COUNT(U261:U265))</f>
        <v>173.70812188263162</v>
      </c>
      <c r="V268" s="16">
        <f>V267/SQRT(COUNT(V257:V265))</f>
        <v>3.2307748124209703</v>
      </c>
      <c r="W268" s="16">
        <f>W267/SQRT(COUNT(W257:W265))</f>
        <v>16.087284881932433</v>
      </c>
      <c r="X268" s="16">
        <f>X267/SQRT(COUNT(X261:X265))</f>
        <v>6.4562518861676854E-2</v>
      </c>
      <c r="Y268" s="16">
        <f>Y267/SQRT(COUNT(Y260:Y265))</f>
        <v>3.0166576797405375E-2</v>
      </c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</row>
    <row r="269" spans="13:39" ht="12" x14ac:dyDescent="0.3">
      <c r="N269" s="6" t="s">
        <v>218</v>
      </c>
      <c r="O269" s="6" t="s">
        <v>35</v>
      </c>
      <c r="P269" s="8">
        <v>5.1096351557100004</v>
      </c>
      <c r="Q269" s="8">
        <v>5.55745380659E-2</v>
      </c>
      <c r="R269" s="8">
        <v>1.09343058866</v>
      </c>
      <c r="S269" s="8">
        <v>64.741203542469393</v>
      </c>
      <c r="T269" s="8">
        <v>101.90914906967602</v>
      </c>
      <c r="U269" s="8">
        <v>360.47247414283908</v>
      </c>
      <c r="V269" s="8">
        <f>1/Q269</f>
        <v>17.993851767408398</v>
      </c>
      <c r="W269" s="8">
        <f>AVERAGE(W270:W274)*0.855</f>
        <v>26.775597757958998</v>
      </c>
      <c r="X269" s="8">
        <v>0.26545363722799997</v>
      </c>
      <c r="Y269" s="8">
        <v>0.81365335906404535</v>
      </c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</row>
    <row r="270" spans="13:39" ht="12" x14ac:dyDescent="0.3">
      <c r="N270" s="6" t="s">
        <v>218</v>
      </c>
      <c r="O270" s="6" t="s">
        <v>35</v>
      </c>
      <c r="P270" s="8">
        <f>AVERAGE(P271:P274)*0.85</f>
        <v>0.92274631179337496</v>
      </c>
      <c r="Q270" s="8">
        <v>4.8172749856900003E-2</v>
      </c>
      <c r="R270" s="8">
        <v>0.89404455756099999</v>
      </c>
      <c r="S270" s="8">
        <v>77.059789292882144</v>
      </c>
      <c r="T270" s="8">
        <v>124.66794503361857</v>
      </c>
      <c r="U270" s="8">
        <v>452.44277718526854</v>
      </c>
      <c r="V270" s="8">
        <f>1/Q270</f>
        <v>20.758623972485669</v>
      </c>
      <c r="W270" s="8">
        <v>43.997092383199998</v>
      </c>
      <c r="X270" s="8">
        <v>0.30321342471500001</v>
      </c>
      <c r="Y270" s="8">
        <v>0.64183012687458985</v>
      </c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</row>
    <row r="271" spans="13:39" ht="12" x14ac:dyDescent="0.3">
      <c r="N271" s="6" t="s">
        <v>218</v>
      </c>
      <c r="O271" s="6" t="s">
        <v>35</v>
      </c>
      <c r="P271" s="8">
        <v>1.18780121929</v>
      </c>
      <c r="Q271" s="8" t="s">
        <v>15</v>
      </c>
      <c r="R271" s="8">
        <v>0.794517324646</v>
      </c>
      <c r="S271" s="8">
        <v>3.9911510850840416E-2</v>
      </c>
      <c r="T271" s="8">
        <v>5.2145751774767012E-2</v>
      </c>
      <c r="U271" s="8">
        <v>0.14446594293197221</v>
      </c>
      <c r="V271" s="8" t="s">
        <v>15</v>
      </c>
      <c r="W271" s="8">
        <v>24.032002651100001</v>
      </c>
      <c r="X271" s="8">
        <v>0.16794103337499999</v>
      </c>
      <c r="Y271" s="8">
        <v>0.64183012687458985</v>
      </c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</row>
    <row r="272" spans="13:39" ht="12" x14ac:dyDescent="0.3">
      <c r="N272" s="6" t="s">
        <v>218</v>
      </c>
      <c r="O272" s="6" t="s">
        <v>35</v>
      </c>
      <c r="P272" s="8">
        <v>1.0363254127799999</v>
      </c>
      <c r="Q272" s="7">
        <f>AVERAGE(Q269:Q271,Q273:Q274)*1.25</f>
        <v>5.6749055742958333E-2</v>
      </c>
      <c r="R272" s="8">
        <v>0.91516718008999998</v>
      </c>
      <c r="S272" s="8">
        <v>3.3473801667264429E-2</v>
      </c>
      <c r="T272" s="8">
        <v>4.024018221898977E-2</v>
      </c>
      <c r="U272" s="8">
        <v>9.3142469876693515E-2</v>
      </c>
      <c r="V272" s="8">
        <f>1/Q272</f>
        <v>17.621438575638049</v>
      </c>
      <c r="W272" s="8" t="s">
        <v>15</v>
      </c>
      <c r="X272" s="8">
        <v>0.22196764293099999</v>
      </c>
      <c r="Y272" s="8">
        <v>0.66413888872282756</v>
      </c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spans="13:39" ht="12" x14ac:dyDescent="0.3">
      <c r="N273" s="6" t="s">
        <v>218</v>
      </c>
      <c r="O273" s="6" t="s">
        <v>35</v>
      </c>
      <c r="P273" s="8">
        <v>1.06137166519</v>
      </c>
      <c r="Q273" s="8">
        <v>3.2450445860299999E-2</v>
      </c>
      <c r="R273" s="8">
        <v>0.197974642073</v>
      </c>
      <c r="S273" s="8">
        <v>32.274853417704172</v>
      </c>
      <c r="T273" s="8">
        <v>51.499160088992838</v>
      </c>
      <c r="U273" s="8">
        <v>184.54117213117843</v>
      </c>
      <c r="V273" s="8">
        <f>1/Q273</f>
        <v>30.81621757386711</v>
      </c>
      <c r="W273" s="8" t="s">
        <v>15</v>
      </c>
      <c r="X273" s="8" t="s">
        <v>15</v>
      </c>
      <c r="Y273" s="8">
        <v>0.66413888872282756</v>
      </c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</row>
    <row r="274" spans="13:39" ht="12" x14ac:dyDescent="0.3">
      <c r="N274" s="6" t="s">
        <v>218</v>
      </c>
      <c r="O274" s="6" t="s">
        <v>35</v>
      </c>
      <c r="P274" s="8">
        <v>1.0568372876500001</v>
      </c>
      <c r="Q274" s="8" t="s">
        <v>15</v>
      </c>
      <c r="R274" s="8">
        <v>0.88659037716800004</v>
      </c>
      <c r="S274" s="8">
        <v>2.8370049852986169E-2</v>
      </c>
      <c r="T274" s="8">
        <v>3.4757267268664106E-2</v>
      </c>
      <c r="U274" s="8">
        <v>8.4337904959424365E-2</v>
      </c>
      <c r="V274" s="8" t="s">
        <v>15</v>
      </c>
      <c r="W274" s="8">
        <v>25.920370783100001</v>
      </c>
      <c r="X274" s="8">
        <v>0.16508230274999999</v>
      </c>
      <c r="Y274" s="8">
        <v>0.6728590787690607</v>
      </c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</row>
    <row r="275" spans="13:39" ht="12" x14ac:dyDescent="0.3">
      <c r="M275" s="9" t="s">
        <v>362</v>
      </c>
      <c r="N275" s="10" t="s">
        <v>218</v>
      </c>
      <c r="O275" s="10" t="s">
        <v>35</v>
      </c>
      <c r="P275" s="11">
        <f>AVERAGE(P270:P274)</f>
        <v>1.053016379340675</v>
      </c>
      <c r="Q275" s="11">
        <f t="shared" ref="Q275:Y275" si="55">AVERAGE(Q269:Q274)</f>
        <v>4.8236697381514579E-2</v>
      </c>
      <c r="R275" s="11">
        <f t="shared" si="55"/>
        <v>0.79695411169966679</v>
      </c>
      <c r="S275" s="11">
        <f t="shared" si="55"/>
        <v>29.0296002692378</v>
      </c>
      <c r="T275" s="11">
        <f t="shared" si="55"/>
        <v>46.367232898924975</v>
      </c>
      <c r="U275" s="11">
        <f t="shared" si="55"/>
        <v>166.29639496284236</v>
      </c>
      <c r="V275" s="11">
        <f t="shared" si="55"/>
        <v>21.797532972349806</v>
      </c>
      <c r="W275" s="11">
        <f t="shared" si="55"/>
        <v>30.181265893839747</v>
      </c>
      <c r="X275" s="11">
        <f t="shared" si="55"/>
        <v>0.22473160819980001</v>
      </c>
      <c r="Y275" s="11">
        <f t="shared" si="55"/>
        <v>0.6830750781713234</v>
      </c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</row>
    <row r="276" spans="13:39" ht="12" x14ac:dyDescent="0.3">
      <c r="M276" s="9" t="s">
        <v>363</v>
      </c>
      <c r="N276" s="12" t="s">
        <v>218</v>
      </c>
      <c r="O276" s="12" t="s">
        <v>35</v>
      </c>
      <c r="P276" s="13">
        <f>_xlfn.STDEV.S(P270:P274)</f>
        <v>9.4207539620782293E-2</v>
      </c>
      <c r="Q276" s="13">
        <f t="shared" ref="Q276:Y276" si="56">_xlfn.STDEV.S(Q269:Q274)</f>
        <v>1.1187999183053547E-2</v>
      </c>
      <c r="R276" s="13">
        <f t="shared" si="56"/>
        <v>0.30923007248943846</v>
      </c>
      <c r="S276" s="13">
        <f t="shared" si="56"/>
        <v>34.971411446089995</v>
      </c>
      <c r="T276" s="13">
        <f t="shared" si="56"/>
        <v>56.000390175753104</v>
      </c>
      <c r="U276" s="13">
        <f t="shared" si="56"/>
        <v>201.38192880510019</v>
      </c>
      <c r="V276" s="13">
        <f t="shared" si="56"/>
        <v>6.1731612369113806</v>
      </c>
      <c r="W276" s="13">
        <f t="shared" si="56"/>
        <v>9.2816001244235622</v>
      </c>
      <c r="X276" s="13">
        <f t="shared" si="56"/>
        <v>6.0432871240081183E-2</v>
      </c>
      <c r="Y276" s="13">
        <f t="shared" si="56"/>
        <v>6.5229601625771294E-2</v>
      </c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spans="13:39" ht="12" x14ac:dyDescent="0.3">
      <c r="M277" s="14" t="s">
        <v>364</v>
      </c>
      <c r="N277" s="15" t="s">
        <v>218</v>
      </c>
      <c r="O277" s="15" t="s">
        <v>35</v>
      </c>
      <c r="P277" s="16">
        <f>P276/P275</f>
        <v>8.9464457979056736E-2</v>
      </c>
      <c r="Q277" s="16">
        <f>Q276/SQRT(COUNT(Q269:Q274))</f>
        <v>5.5939995915267734E-3</v>
      </c>
      <c r="R277" s="16">
        <f>R276/SQRT(COUNT(R270:R274))</f>
        <v>0.13829189255471439</v>
      </c>
      <c r="S277" s="16">
        <f>S276/SQRT(COUNT(S270:S274))</f>
        <v>15.63969065251429</v>
      </c>
      <c r="T277" s="16">
        <f>T276/SQRT(COUNT(T270:T274))</f>
        <v>25.044135839899067</v>
      </c>
      <c r="U277" s="16">
        <f>U276/SQRT(COUNT(U270:U274))</f>
        <v>90.060736449645404</v>
      </c>
      <c r="V277" s="16">
        <f>V276/SQRT(COUNT(V269:V274))</f>
        <v>3.0865806184556903</v>
      </c>
      <c r="W277" s="16">
        <f>W276/SQRT(COUNT(W269:W274))</f>
        <v>4.6408000622117811</v>
      </c>
      <c r="X277" s="16">
        <f>X276/SQRT(COUNT(X270:X274))</f>
        <v>3.0216435620040592E-2</v>
      </c>
      <c r="Y277" s="16">
        <f>Y276/SQRT(COUNT(Y270:Y274))</f>
        <v>2.9171564676091079E-2</v>
      </c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</row>
    <row r="278" spans="13:39" ht="12" x14ac:dyDescent="0.3">
      <c r="N278" s="6" t="s">
        <v>243</v>
      </c>
      <c r="O278" s="6" t="s">
        <v>17</v>
      </c>
      <c r="P278" s="8">
        <v>2.1812017683299998</v>
      </c>
      <c r="Q278" s="17">
        <f>AVERAGE(Q279,Q280)*0.85</f>
        <v>4.1724185624717497E-2</v>
      </c>
      <c r="R278" s="8">
        <v>0.771406259639</v>
      </c>
      <c r="S278" s="8">
        <v>100.41643300092748</v>
      </c>
      <c r="T278" s="8">
        <v>148.30121714406977</v>
      </c>
      <c r="U278" s="8">
        <v>490.16447006617011</v>
      </c>
      <c r="V278" s="8">
        <f>1/Q278</f>
        <v>23.966914752857342</v>
      </c>
      <c r="W278" s="8">
        <v>67.582543014999999</v>
      </c>
      <c r="X278" s="8">
        <v>0.35854021497999999</v>
      </c>
      <c r="Y278" s="8">
        <v>0.77222900000000005</v>
      </c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</row>
    <row r="279" spans="13:39" ht="12" x14ac:dyDescent="0.3">
      <c r="N279" s="6" t="s">
        <v>243</v>
      </c>
      <c r="O279" s="6" t="s">
        <v>17</v>
      </c>
      <c r="P279" s="8">
        <f>AVERAGE(P278,P280)*0.85</f>
        <v>2.6464330611317504</v>
      </c>
      <c r="Q279" s="8">
        <v>4.9507927680499997E-2</v>
      </c>
      <c r="R279" s="8">
        <v>0.552842184289</v>
      </c>
      <c r="S279" s="8">
        <v>201.16441283730268</v>
      </c>
      <c r="T279" s="8">
        <v>349.45199485279528</v>
      </c>
      <c r="U279" s="8">
        <v>1345.3090933153835</v>
      </c>
      <c r="V279" s="8">
        <f>1/Q279</f>
        <v>20.198785262302071</v>
      </c>
      <c r="W279" s="8">
        <f>AVERAGE(W278,W280)*0.85</f>
        <v>42.710878935674998</v>
      </c>
      <c r="X279" s="8">
        <v>0.46758140656199998</v>
      </c>
      <c r="Y279" s="8">
        <v>0.83209299999999997</v>
      </c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</row>
    <row r="280" spans="13:39" ht="12" x14ac:dyDescent="0.3">
      <c r="N280" s="6" t="s">
        <v>243</v>
      </c>
      <c r="O280" s="6" t="s">
        <v>17</v>
      </c>
      <c r="P280" s="8">
        <v>4.0456995519800003</v>
      </c>
      <c r="Q280" s="8">
        <v>4.8666626730600002E-2</v>
      </c>
      <c r="R280" s="8">
        <f>AVERAGE(R278:R279)*0.95</f>
        <v>0.6290180108658</v>
      </c>
      <c r="S280" s="8">
        <v>60.858861681930328</v>
      </c>
      <c r="T280" s="8">
        <v>94.218074358110627</v>
      </c>
      <c r="U280" s="8">
        <v>327.80369453662075</v>
      </c>
      <c r="V280" s="8">
        <f>1/Q280</f>
        <v>20.547962067221569</v>
      </c>
      <c r="W280" s="8">
        <v>32.913642715999998</v>
      </c>
      <c r="X280" s="8">
        <v>0.288508336453</v>
      </c>
      <c r="Y280" s="8">
        <v>0.80695499999999998</v>
      </c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</row>
    <row r="281" spans="13:39" ht="12" x14ac:dyDescent="0.3">
      <c r="M281" s="9" t="s">
        <v>362</v>
      </c>
      <c r="N281" s="10" t="s">
        <v>243</v>
      </c>
      <c r="O281" s="10" t="s">
        <v>17</v>
      </c>
      <c r="P281" s="11">
        <f t="shared" ref="P281:Y281" si="57">AVERAGE(P278:P280)</f>
        <v>2.9577781271472503</v>
      </c>
      <c r="Q281" s="11">
        <f t="shared" si="57"/>
        <v>4.6632913345272496E-2</v>
      </c>
      <c r="R281" s="11">
        <f t="shared" si="57"/>
        <v>0.65108881826460008</v>
      </c>
      <c r="S281" s="11">
        <f t="shared" si="57"/>
        <v>120.81323584005349</v>
      </c>
      <c r="T281" s="11">
        <f t="shared" si="57"/>
        <v>197.32376211832522</v>
      </c>
      <c r="U281" s="11">
        <f t="shared" si="57"/>
        <v>721.0924193060581</v>
      </c>
      <c r="V281" s="11">
        <f t="shared" si="57"/>
        <v>21.571220694126993</v>
      </c>
      <c r="W281" s="11">
        <f t="shared" si="57"/>
        <v>47.735688222225001</v>
      </c>
      <c r="X281" s="11">
        <f t="shared" si="57"/>
        <v>0.37154331933166668</v>
      </c>
      <c r="Y281" s="11">
        <f t="shared" si="57"/>
        <v>0.803759</v>
      </c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</row>
    <row r="282" spans="13:39" ht="12" x14ac:dyDescent="0.3">
      <c r="M282" s="9" t="s">
        <v>363</v>
      </c>
      <c r="N282" s="12" t="s">
        <v>243</v>
      </c>
      <c r="O282" s="12" t="s">
        <v>17</v>
      </c>
      <c r="P282" s="13">
        <f t="shared" ref="P282:Y282" si="58">_xlfn.STDEV.S(P278:P280)</f>
        <v>0.97045855599715702</v>
      </c>
      <c r="Q282" s="13">
        <f t="shared" si="58"/>
        <v>4.2718441799747897E-3</v>
      </c>
      <c r="R282" s="13">
        <f t="shared" si="58"/>
        <v>0.1109409940591229</v>
      </c>
      <c r="S282" s="13">
        <f t="shared" si="58"/>
        <v>72.342477810736071</v>
      </c>
      <c r="T282" s="13">
        <f t="shared" si="58"/>
        <v>134.49347931995229</v>
      </c>
      <c r="U282" s="13">
        <f t="shared" si="58"/>
        <v>546.64897095036008</v>
      </c>
      <c r="V282" s="13">
        <f t="shared" si="58"/>
        <v>2.0820647510465093</v>
      </c>
      <c r="W282" s="13">
        <f t="shared" si="58"/>
        <v>17.872316393242077</v>
      </c>
      <c r="X282" s="13">
        <f t="shared" si="58"/>
        <v>9.024190629442011E-2</v>
      </c>
      <c r="Y282" s="13">
        <f t="shared" si="58"/>
        <v>3.0059697869406429E-2</v>
      </c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</row>
    <row r="283" spans="13:39" ht="12" x14ac:dyDescent="0.3">
      <c r="M283" s="14" t="s">
        <v>364</v>
      </c>
      <c r="N283" s="15" t="s">
        <v>243</v>
      </c>
      <c r="O283" s="15" t="s">
        <v>17</v>
      </c>
      <c r="P283" s="16">
        <f>P282/P281</f>
        <v>0.32810390579673243</v>
      </c>
      <c r="Q283" s="16">
        <f>Q282/SQRT(COUNT(Q278:Q280))</f>
        <v>2.466350387244581E-3</v>
      </c>
      <c r="R283" s="16">
        <f>R282/SQRT(COUNT(R276:R280))</f>
        <v>4.9614320841519823E-2</v>
      </c>
      <c r="S283" s="16">
        <f>S282/SQRT(COUNT(S276:S280))</f>
        <v>32.352539609115205</v>
      </c>
      <c r="T283" s="16">
        <f>T282/SQRT(COUNT(T276:T280))</f>
        <v>60.147312457975097</v>
      </c>
      <c r="U283" s="16">
        <f>U282/SQRT(COUNT(U276:U280))</f>
        <v>244.46885177506257</v>
      </c>
      <c r="V283" s="16">
        <f>V282/SQRT(COUNT(V278:V280))</f>
        <v>1.2020806444869334</v>
      </c>
      <c r="W283" s="16">
        <f>W282/SQRT(COUNT(W278:W280))</f>
        <v>10.318586680680475</v>
      </c>
      <c r="X283" s="16">
        <f>X282/SQRT(COUNT(X276:X280))</f>
        <v>4.0357407378697904E-2</v>
      </c>
      <c r="Y283" s="16">
        <f>Y282/SQRT(COUNT(Y276:Y280))</f>
        <v>1.3443105563819674E-2</v>
      </c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</row>
    <row r="284" spans="13:39" ht="12" x14ac:dyDescent="0.3">
      <c r="N284" s="6" t="s">
        <v>243</v>
      </c>
      <c r="O284" s="6" t="s">
        <v>26</v>
      </c>
      <c r="P284" s="8">
        <v>11.6774352742</v>
      </c>
      <c r="Q284" s="8">
        <v>4.9954225253000001E-2</v>
      </c>
      <c r="R284" s="8">
        <v>4.0251879573100002E-2</v>
      </c>
      <c r="S284" s="8">
        <v>128.94509754805568</v>
      </c>
      <c r="T284" s="8">
        <v>227.90174370612857</v>
      </c>
      <c r="U284" s="8">
        <v>888.7491240070168</v>
      </c>
      <c r="V284" s="8">
        <f t="shared" ref="V284:V292" si="59">1/Q284</f>
        <v>20.018326676779857</v>
      </c>
      <c r="W284" s="8">
        <v>129.138708337</v>
      </c>
      <c r="X284" s="8">
        <v>0.32426482742599999</v>
      </c>
      <c r="Y284" s="8">
        <v>0.75206461098744015</v>
      </c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</row>
    <row r="285" spans="13:39" ht="12" x14ac:dyDescent="0.3">
      <c r="N285" s="6" t="s">
        <v>243</v>
      </c>
      <c r="O285" s="6" t="s">
        <v>26</v>
      </c>
      <c r="P285" s="8">
        <v>10.2335171212</v>
      </c>
      <c r="Q285" s="8">
        <v>4.0197441746300001E-2</v>
      </c>
      <c r="R285" s="8">
        <v>-9.5153843260099999E-2</v>
      </c>
      <c r="S285" s="8">
        <v>138.26982259761468</v>
      </c>
      <c r="T285" s="8">
        <v>246.34886375425882</v>
      </c>
      <c r="U285" s="8">
        <v>966.28146292683982</v>
      </c>
      <c r="V285" s="8">
        <f t="shared" si="59"/>
        <v>24.877205029895855</v>
      </c>
      <c r="W285" s="8">
        <v>137.71945711000001</v>
      </c>
      <c r="X285" s="8">
        <v>0.295921841287</v>
      </c>
      <c r="Y285" s="8">
        <v>0.75444779474925139</v>
      </c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</row>
    <row r="286" spans="13:39" ht="12" x14ac:dyDescent="0.3">
      <c r="N286" s="6" t="s">
        <v>243</v>
      </c>
      <c r="O286" s="6" t="s">
        <v>26</v>
      </c>
      <c r="P286" s="8">
        <f>AVERAGE(P287:P289,P291:P292,P284:P285)</f>
        <v>8.4808688209685723</v>
      </c>
      <c r="Q286" s="8">
        <v>5.1433989115400001E-2</v>
      </c>
      <c r="R286" s="8">
        <v>0.256687780049</v>
      </c>
      <c r="S286" s="8">
        <v>169.97918925410443</v>
      </c>
      <c r="T286" s="8">
        <v>298.0208866711007</v>
      </c>
      <c r="U286" s="8">
        <v>1155.319444057071</v>
      </c>
      <c r="V286" s="8">
        <f t="shared" si="59"/>
        <v>19.442396306386957</v>
      </c>
      <c r="W286" s="8">
        <v>184.05112499399999</v>
      </c>
      <c r="X286" s="8">
        <v>0.31696756458100001</v>
      </c>
      <c r="Y286" s="8">
        <v>0.83210310486233152</v>
      </c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</row>
    <row r="287" spans="13:39" ht="12" x14ac:dyDescent="0.3">
      <c r="N287" s="6" t="s">
        <v>243</v>
      </c>
      <c r="O287" s="6" t="s">
        <v>26</v>
      </c>
      <c r="P287" s="8">
        <v>3.6815344373299999</v>
      </c>
      <c r="Q287" s="8">
        <v>5.8094783339799998E-2</v>
      </c>
      <c r="R287" s="8">
        <v>1.41138615575</v>
      </c>
      <c r="S287" s="8">
        <v>53.940160272151061</v>
      </c>
      <c r="T287" s="8">
        <v>78.666262880196498</v>
      </c>
      <c r="U287" s="8">
        <v>256.14876210559993</v>
      </c>
      <c r="V287" s="8">
        <f t="shared" si="59"/>
        <v>17.213249495241904</v>
      </c>
      <c r="W287" s="8" t="s">
        <v>15</v>
      </c>
      <c r="X287" s="8">
        <v>0.30260645207300002</v>
      </c>
      <c r="Y287" s="8">
        <v>0.75459768748563594</v>
      </c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</row>
    <row r="288" spans="13:39" ht="12" x14ac:dyDescent="0.3">
      <c r="N288" s="6" t="s">
        <v>243</v>
      </c>
      <c r="O288" s="6" t="s">
        <v>26</v>
      </c>
      <c r="P288" s="8">
        <v>9.5266629299200005</v>
      </c>
      <c r="Q288" s="8">
        <v>5.1370539479100003E-2</v>
      </c>
      <c r="R288" s="8">
        <v>0.82440157913199996</v>
      </c>
      <c r="S288" s="8">
        <v>112.89830811869419</v>
      </c>
      <c r="T288" s="8">
        <v>189.96640071302841</v>
      </c>
      <c r="U288" s="8">
        <v>713.14373543155443</v>
      </c>
      <c r="V288" s="8">
        <f t="shared" si="59"/>
        <v>19.466410322726862</v>
      </c>
      <c r="W288" s="8">
        <v>111.77352524200001</v>
      </c>
      <c r="X288" s="8">
        <v>0.28272083061600001</v>
      </c>
      <c r="Y288" s="8">
        <v>0.76022550779595377</v>
      </c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</row>
    <row r="289" spans="13:39" ht="12" x14ac:dyDescent="0.3">
      <c r="N289" s="6" t="s">
        <v>243</v>
      </c>
      <c r="O289" s="6" t="s">
        <v>26</v>
      </c>
      <c r="P289" s="8">
        <v>12.5272764815</v>
      </c>
      <c r="Q289" s="8">
        <v>4.5989805424600003E-2</v>
      </c>
      <c r="R289" s="8">
        <v>0.175984738015</v>
      </c>
      <c r="S289" s="8">
        <v>152.19000147895244</v>
      </c>
      <c r="T289" s="8">
        <v>267.22555431447654</v>
      </c>
      <c r="U289" s="8">
        <v>1037.0739899450475</v>
      </c>
      <c r="V289" s="8">
        <f t="shared" si="59"/>
        <v>21.743949355025947</v>
      </c>
      <c r="W289" s="8">
        <f>AVERAGE(W284:W288,W290:W292)*1.25</f>
        <v>154.69349192555359</v>
      </c>
      <c r="X289" s="8">
        <v>0.26884909235499999</v>
      </c>
      <c r="Y289" s="8">
        <v>0.83210310486233152</v>
      </c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</row>
    <row r="290" spans="13:39" ht="12" x14ac:dyDescent="0.3">
      <c r="N290" s="6" t="s">
        <v>243</v>
      </c>
      <c r="O290" s="6" t="s">
        <v>26</v>
      </c>
      <c r="P290" s="8">
        <f>AVERAGE(P291:P292,P284:P289)</f>
        <v>8.4808688209685723</v>
      </c>
      <c r="Q290" s="8">
        <v>3.8389725221000003E-2</v>
      </c>
      <c r="R290" s="8">
        <v>1.2918585380000001</v>
      </c>
      <c r="S290" s="8">
        <v>62.442247536612527</v>
      </c>
      <c r="T290" s="8">
        <v>84.582964644079681</v>
      </c>
      <c r="U290" s="8">
        <v>248.88042304268589</v>
      </c>
      <c r="V290" s="8">
        <f t="shared" si="59"/>
        <v>26.048636562081423</v>
      </c>
      <c r="W290" s="8">
        <v>62.161896654099998</v>
      </c>
      <c r="X290" s="8">
        <v>0.12982801685199999</v>
      </c>
      <c r="Y290" s="8">
        <v>0.83209326849844745</v>
      </c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</row>
    <row r="291" spans="13:39" ht="12" x14ac:dyDescent="0.3">
      <c r="N291" s="6" t="s">
        <v>243</v>
      </c>
      <c r="O291" s="6" t="s">
        <v>26</v>
      </c>
      <c r="P291" s="8">
        <v>5.9436352469299996</v>
      </c>
      <c r="Q291" s="8">
        <v>4.4376098168300002E-2</v>
      </c>
      <c r="R291" s="8">
        <v>1.3992342850199999</v>
      </c>
      <c r="S291" s="8">
        <v>96.608163702735979</v>
      </c>
      <c r="T291" s="8">
        <v>150.50673660564561</v>
      </c>
      <c r="U291" s="8">
        <v>526.97444673887276</v>
      </c>
      <c r="V291" s="8">
        <f t="shared" si="59"/>
        <v>22.534653592287853</v>
      </c>
      <c r="W291" s="8">
        <v>102.597918038</v>
      </c>
      <c r="X291" s="8">
        <v>0.224952030468</v>
      </c>
      <c r="Y291" s="8">
        <v>0.70801340220577957</v>
      </c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</row>
    <row r="292" spans="13:39" ht="12" x14ac:dyDescent="0.3">
      <c r="N292" s="6" t="s">
        <v>243</v>
      </c>
      <c r="O292" s="6" t="s">
        <v>26</v>
      </c>
      <c r="P292" s="8">
        <v>5.7760202556999998</v>
      </c>
      <c r="Q292" s="8">
        <v>3.3574668064000002E-2</v>
      </c>
      <c r="R292" s="8">
        <v>0.79874125552300002</v>
      </c>
      <c r="S292" s="8">
        <v>111.17837241195387</v>
      </c>
      <c r="T292" s="8">
        <v>181.86723257919058</v>
      </c>
      <c r="U292" s="8">
        <v>666.5759340837327</v>
      </c>
      <c r="V292" s="8">
        <f t="shared" si="59"/>
        <v>29.784359985147162</v>
      </c>
      <c r="W292" s="8">
        <v>138.84092440800001</v>
      </c>
      <c r="X292" s="8">
        <v>0.20082624432999999</v>
      </c>
      <c r="Y292" s="8">
        <v>0.72761275234274758</v>
      </c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</row>
    <row r="293" spans="13:39" ht="12" x14ac:dyDescent="0.3">
      <c r="M293" s="9" t="s">
        <v>362</v>
      </c>
      <c r="N293" s="10" t="s">
        <v>243</v>
      </c>
      <c r="O293" s="10" t="s">
        <v>26</v>
      </c>
      <c r="P293" s="11">
        <f>AVERAGE(P288:P291,P284:P286)</f>
        <v>9.5528949565267336</v>
      </c>
      <c r="Q293" s="11">
        <f t="shared" ref="Q293:Y293" si="60">AVERAGE(Q284:Q292)</f>
        <v>4.5931252867944444E-2</v>
      </c>
      <c r="R293" s="11">
        <f t="shared" si="60"/>
        <v>0.67815470753355556</v>
      </c>
      <c r="S293" s="11">
        <f t="shared" si="60"/>
        <v>114.05015143565275</v>
      </c>
      <c r="T293" s="11">
        <f t="shared" si="60"/>
        <v>191.67629398534507</v>
      </c>
      <c r="U293" s="11">
        <f t="shared" si="60"/>
        <v>717.68303581538009</v>
      </c>
      <c r="V293" s="11">
        <f t="shared" si="60"/>
        <v>22.347687480619314</v>
      </c>
      <c r="W293" s="11">
        <f t="shared" si="60"/>
        <v>127.6221308385817</v>
      </c>
      <c r="X293" s="11">
        <f t="shared" si="60"/>
        <v>0.26077076666533333</v>
      </c>
      <c r="Y293" s="11">
        <f t="shared" si="60"/>
        <v>0.77258458153221321</v>
      </c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</row>
    <row r="294" spans="13:39" ht="12" x14ac:dyDescent="0.3">
      <c r="M294" s="9" t="s">
        <v>363</v>
      </c>
      <c r="N294" s="12" t="s">
        <v>243</v>
      </c>
      <c r="O294" s="12" t="s">
        <v>26</v>
      </c>
      <c r="P294" s="13">
        <f>_xlfn.STDEV.S(P288:P291,P284:P286)</f>
        <v>2.2041546901909199</v>
      </c>
      <c r="Q294" s="13">
        <f t="shared" ref="Q294:Y294" si="61">_xlfn.STDEV.S(Q284:Q292)</f>
        <v>7.655554169891444E-3</v>
      </c>
      <c r="R294" s="13">
        <f t="shared" si="61"/>
        <v>0.60258619198410235</v>
      </c>
      <c r="S294" s="13">
        <f t="shared" si="61"/>
        <v>38.700033753053717</v>
      </c>
      <c r="T294" s="13">
        <f t="shared" si="61"/>
        <v>76.935491174168206</v>
      </c>
      <c r="U294" s="13">
        <f t="shared" si="61"/>
        <v>327.18364004108651</v>
      </c>
      <c r="V294" s="13">
        <f t="shared" si="61"/>
        <v>3.9422374226810648</v>
      </c>
      <c r="W294" s="13">
        <f t="shared" si="61"/>
        <v>36.468458175561651</v>
      </c>
      <c r="X294" s="13">
        <f t="shared" si="61"/>
        <v>6.3977334337335698E-2</v>
      </c>
      <c r="Y294" s="13">
        <f t="shared" si="61"/>
        <v>4.7492608596659443E-2</v>
      </c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</row>
    <row r="295" spans="13:39" ht="12" x14ac:dyDescent="0.3">
      <c r="M295" s="14" t="s">
        <v>364</v>
      </c>
      <c r="N295" s="15" t="s">
        <v>243</v>
      </c>
      <c r="O295" s="15" t="s">
        <v>26</v>
      </c>
      <c r="P295" s="16">
        <f>P294/P293</f>
        <v>0.23073159500042406</v>
      </c>
      <c r="Q295" s="16">
        <f>Q294/SQRT(COUNT(Q284:Q292))</f>
        <v>2.5518513899638147E-3</v>
      </c>
      <c r="R295" s="16">
        <f>R294/SQRT(COUNT(R288:R292))</f>
        <v>0.26948473751583835</v>
      </c>
      <c r="S295" s="16">
        <f>S294/SQRT(COUNT(S288:S292))</f>
        <v>17.307181240672882</v>
      </c>
      <c r="T295" s="16">
        <f>T294/SQRT(COUNT(T288:T292))</f>
        <v>34.406597629555044</v>
      </c>
      <c r="U295" s="16">
        <f>U294/SQRT(COUNT(U288:U292))</f>
        <v>146.32097205153829</v>
      </c>
      <c r="V295" s="16">
        <f>V294/SQRT(COUNT(V284:V292))</f>
        <v>1.3140791408936883</v>
      </c>
      <c r="W295" s="16">
        <f>W294/SQRT(COUNT(W284:W292))</f>
        <v>12.893547037678815</v>
      </c>
      <c r="X295" s="16">
        <f>X294/SQRT(COUNT(X288:X292))</f>
        <v>2.8611533719502816E-2</v>
      </c>
      <c r="Y295" s="16">
        <f>Y294/SQRT(COUNT(Y284:Y292))</f>
        <v>1.5830869532219814E-2</v>
      </c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spans="13:39" ht="12" x14ac:dyDescent="0.3">
      <c r="N296" s="6" t="s">
        <v>243</v>
      </c>
      <c r="O296" s="6" t="s">
        <v>35</v>
      </c>
      <c r="P296" s="8">
        <f>AVERAGE(P297:P302,P304)*0.85</f>
        <v>4.0251009962921422</v>
      </c>
      <c r="Q296" s="8">
        <v>3.8389725221000003E-2</v>
      </c>
      <c r="R296" s="8">
        <v>1.2918585380000001</v>
      </c>
      <c r="S296" s="8">
        <v>62.442247536612527</v>
      </c>
      <c r="T296" s="8">
        <v>84.582964644079681</v>
      </c>
      <c r="U296" s="8">
        <v>248.88042304268589</v>
      </c>
      <c r="V296" s="8">
        <f t="shared" ref="V296:V304" si="62">1/Q296</f>
        <v>26.048636562081423</v>
      </c>
      <c r="W296" s="8">
        <v>62.161896654099998</v>
      </c>
      <c r="X296" s="8">
        <v>0.12982801685199999</v>
      </c>
      <c r="Y296" s="8">
        <v>0.83209326849844745</v>
      </c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</row>
    <row r="297" spans="13:39" ht="12" x14ac:dyDescent="0.3">
      <c r="N297" s="6" t="s">
        <v>243</v>
      </c>
      <c r="O297" s="6" t="s">
        <v>35</v>
      </c>
      <c r="P297" s="8">
        <v>5.9436352469299996</v>
      </c>
      <c r="Q297" s="8">
        <v>4.4376098168300002E-2</v>
      </c>
      <c r="R297" s="8">
        <v>1.3992342850199999</v>
      </c>
      <c r="S297" s="8">
        <v>96.608163702735979</v>
      </c>
      <c r="T297" s="8">
        <v>150.50673660564561</v>
      </c>
      <c r="U297" s="8">
        <v>526.97444673887276</v>
      </c>
      <c r="V297" s="8">
        <f t="shared" si="62"/>
        <v>22.534653592287853</v>
      </c>
      <c r="W297" s="8">
        <v>102.597918038</v>
      </c>
      <c r="X297" s="8" t="s">
        <v>15</v>
      </c>
      <c r="Y297" s="8">
        <v>0.70801340220577957</v>
      </c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</row>
    <row r="298" spans="13:39" ht="12" x14ac:dyDescent="0.3">
      <c r="N298" s="6" t="s">
        <v>243</v>
      </c>
      <c r="O298" s="6" t="s">
        <v>35</v>
      </c>
      <c r="P298" s="8">
        <v>5.7760202556999998</v>
      </c>
      <c r="Q298" s="8">
        <v>3.3574668064000002E-2</v>
      </c>
      <c r="R298" s="8">
        <v>0.79874125552300002</v>
      </c>
      <c r="S298" s="8">
        <v>111.17837241195387</v>
      </c>
      <c r="T298" s="8">
        <v>181.86723257919058</v>
      </c>
      <c r="U298" s="8">
        <v>666.5759340837327</v>
      </c>
      <c r="V298" s="8">
        <f t="shared" si="62"/>
        <v>29.784359985147162</v>
      </c>
      <c r="W298" s="8">
        <v>138.84092440800001</v>
      </c>
      <c r="X298" s="8">
        <v>0.20082624432999999</v>
      </c>
      <c r="Y298" s="8">
        <v>0.72761275234274758</v>
      </c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</row>
    <row r="299" spans="13:39" ht="12" x14ac:dyDescent="0.3">
      <c r="N299" s="6" t="s">
        <v>243</v>
      </c>
      <c r="O299" s="6" t="s">
        <v>35</v>
      </c>
      <c r="P299" s="8">
        <v>2.66220672656</v>
      </c>
      <c r="Q299" s="8">
        <v>4.7199701574400003E-2</v>
      </c>
      <c r="R299" s="8">
        <v>1.38619017983</v>
      </c>
      <c r="S299" s="8">
        <v>56.235801697083083</v>
      </c>
      <c r="T299" s="8">
        <v>77.640771995482112</v>
      </c>
      <c r="U299" s="8">
        <v>235.08999206700395</v>
      </c>
      <c r="V299" s="8">
        <f t="shared" si="62"/>
        <v>21.186574631700136</v>
      </c>
      <c r="W299" s="8">
        <f>AVERAGE(W296:W298,W300:W302)*0.85</f>
        <v>83.383870768947986</v>
      </c>
      <c r="X299" s="8">
        <v>0.18241088678199999</v>
      </c>
      <c r="Y299" s="8">
        <v>0.77625503258394002</v>
      </c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</row>
    <row r="300" spans="13:39" ht="12" x14ac:dyDescent="0.3">
      <c r="N300" s="6" t="s">
        <v>243</v>
      </c>
      <c r="O300" s="6" t="s">
        <v>35</v>
      </c>
      <c r="P300" s="8">
        <v>6.36471031533</v>
      </c>
      <c r="Q300" s="8">
        <v>3.6954360564100001E-2</v>
      </c>
      <c r="R300" s="8">
        <v>0.50511478064699999</v>
      </c>
      <c r="S300" s="8">
        <v>103.97714859316451</v>
      </c>
      <c r="T300" s="8">
        <v>175.66524657131166</v>
      </c>
      <c r="U300" s="8">
        <v>661.63907483087519</v>
      </c>
      <c r="V300" s="8">
        <f t="shared" si="62"/>
        <v>27.06040599093652</v>
      </c>
      <c r="W300" s="8">
        <v>118.478286618</v>
      </c>
      <c r="X300" s="8">
        <v>0.233327014916</v>
      </c>
      <c r="Y300" s="8">
        <v>0.70268515481742788</v>
      </c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</row>
    <row r="301" spans="13:39" ht="12" x14ac:dyDescent="0.3">
      <c r="N301" s="6" t="s">
        <v>243</v>
      </c>
      <c r="O301" s="6" t="s">
        <v>35</v>
      </c>
      <c r="P301" s="8">
        <v>5.6977520358199998</v>
      </c>
      <c r="Q301" s="8">
        <v>4.2337394112E-2</v>
      </c>
      <c r="R301" s="8">
        <v>0.40843598223499999</v>
      </c>
      <c r="S301" s="8">
        <v>80.519589641823345</v>
      </c>
      <c r="T301" s="8">
        <v>136.63074453690285</v>
      </c>
      <c r="U301" s="8">
        <v>516.43739168441448</v>
      </c>
      <c r="V301" s="8">
        <f t="shared" si="62"/>
        <v>23.619781542401604</v>
      </c>
      <c r="W301" s="8">
        <v>68.414331746299993</v>
      </c>
      <c r="X301" s="8">
        <v>0.276506101886</v>
      </c>
      <c r="Y301" s="8">
        <v>0.83209326849844745</v>
      </c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</row>
    <row r="302" spans="13:39" ht="12" x14ac:dyDescent="0.3">
      <c r="N302" s="6" t="s">
        <v>243</v>
      </c>
      <c r="O302" s="6" t="s">
        <v>35</v>
      </c>
      <c r="P302" s="8">
        <v>3.0396111323400001</v>
      </c>
      <c r="Q302" s="8">
        <v>4.6365591207100001E-2</v>
      </c>
      <c r="R302" s="8">
        <v>1.1385842805199999</v>
      </c>
      <c r="S302" s="8">
        <v>55.252067960883693</v>
      </c>
      <c r="T302" s="8">
        <v>80.877427318795071</v>
      </c>
      <c r="U302" s="8">
        <v>264.52196060787736</v>
      </c>
      <c r="V302" s="8">
        <f t="shared" si="62"/>
        <v>21.567718085019678</v>
      </c>
      <c r="W302" s="8" t="s">
        <v>15</v>
      </c>
      <c r="X302" s="8">
        <v>0.25229869318800002</v>
      </c>
      <c r="Y302" s="8">
        <v>0.83209326849844745</v>
      </c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</row>
    <row r="303" spans="13:39" ht="12" x14ac:dyDescent="0.3">
      <c r="N303" s="6" t="s">
        <v>243</v>
      </c>
      <c r="O303" s="6" t="s">
        <v>35</v>
      </c>
      <c r="P303" s="8">
        <f>AVERAGE(P304,P296:P302)</f>
        <v>4.6466239442490176</v>
      </c>
      <c r="Q303" s="8">
        <v>2.1224499450899999E-2</v>
      </c>
      <c r="R303" s="8">
        <v>0.81452562924600003</v>
      </c>
      <c r="S303" s="8">
        <v>70.66326392593875</v>
      </c>
      <c r="T303" s="8">
        <v>95.154496882985654</v>
      </c>
      <c r="U303" s="8">
        <v>277.3933468289099</v>
      </c>
      <c r="V303" s="8">
        <f t="shared" si="62"/>
        <v>47.115363182691979</v>
      </c>
      <c r="W303" s="8">
        <v>125.037982735</v>
      </c>
      <c r="X303" s="8" t="s">
        <v>15</v>
      </c>
      <c r="Y303" s="8">
        <v>0.83210310486233152</v>
      </c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</row>
    <row r="304" spans="13:39" ht="12" x14ac:dyDescent="0.3">
      <c r="N304" s="6" t="s">
        <v>243</v>
      </c>
      <c r="O304" s="6" t="s">
        <v>35</v>
      </c>
      <c r="P304" s="8">
        <v>3.6639548450200001</v>
      </c>
      <c r="Q304" s="8">
        <v>3.5818924685400003E-2</v>
      </c>
      <c r="R304" s="8">
        <v>0.896878104733</v>
      </c>
      <c r="S304" s="8">
        <v>74.559961383659925</v>
      </c>
      <c r="T304" s="8">
        <v>115.64172594012021</v>
      </c>
      <c r="U304" s="8">
        <v>403.09195984433472</v>
      </c>
      <c r="V304" s="8">
        <f t="shared" si="62"/>
        <v>27.91820270382393</v>
      </c>
      <c r="W304" s="8">
        <v>68.788425911299996</v>
      </c>
      <c r="X304" s="8">
        <v>0.203901678664</v>
      </c>
      <c r="Y304" s="8">
        <v>0.83209326849844745</v>
      </c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</row>
    <row r="305" spans="13:39" ht="12" x14ac:dyDescent="0.3">
      <c r="M305" s="9" t="s">
        <v>362</v>
      </c>
      <c r="N305" s="10" t="s">
        <v>243</v>
      </c>
      <c r="O305" s="10" t="s">
        <v>35</v>
      </c>
      <c r="P305" s="11">
        <f>AVERAGE(P301:P304,P296:P299)</f>
        <v>4.4318631478638952</v>
      </c>
      <c r="Q305" s="11">
        <f t="shared" ref="Q305:Y305" si="63">AVERAGE(Q296:Q304)</f>
        <v>3.8471218116355552E-2</v>
      </c>
      <c r="R305" s="11">
        <f t="shared" si="63"/>
        <v>0.95995144841711111</v>
      </c>
      <c r="S305" s="11">
        <f t="shared" si="63"/>
        <v>79.048512983761739</v>
      </c>
      <c r="T305" s="11">
        <f t="shared" si="63"/>
        <v>122.06303856383482</v>
      </c>
      <c r="U305" s="11">
        <f t="shared" si="63"/>
        <v>422.28939219207842</v>
      </c>
      <c r="V305" s="11">
        <f t="shared" si="63"/>
        <v>27.42618847512114</v>
      </c>
      <c r="W305" s="11">
        <f t="shared" si="63"/>
        <v>95.962954609956</v>
      </c>
      <c r="X305" s="11">
        <f t="shared" si="63"/>
        <v>0.21129980523114283</v>
      </c>
      <c r="Y305" s="11">
        <f t="shared" si="63"/>
        <v>0.786115835645113</v>
      </c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</row>
    <row r="306" spans="13:39" ht="12" x14ac:dyDescent="0.3">
      <c r="M306" s="9" t="s">
        <v>363</v>
      </c>
      <c r="N306" s="12" t="s">
        <v>243</v>
      </c>
      <c r="O306" s="12" t="s">
        <v>35</v>
      </c>
      <c r="P306" s="13">
        <f>_xlfn.STDEV.S(P301:P304,P296:P299)</f>
        <v>1.2854125641262921</v>
      </c>
      <c r="Q306" s="13">
        <f t="shared" ref="Q306:Y306" si="64">_xlfn.STDEV.S(Q296:Q304)</f>
        <v>8.0552012757339718E-3</v>
      </c>
      <c r="R306" s="13">
        <f t="shared" si="64"/>
        <v>0.36723327347122997</v>
      </c>
      <c r="S306" s="13">
        <f t="shared" si="64"/>
        <v>20.667572067837156</v>
      </c>
      <c r="T306" s="13">
        <f t="shared" si="64"/>
        <v>40.790089932549336</v>
      </c>
      <c r="U306" s="13">
        <f t="shared" si="64"/>
        <v>176.12326841253136</v>
      </c>
      <c r="V306" s="13">
        <f t="shared" si="64"/>
        <v>7.9621636593813587</v>
      </c>
      <c r="W306" s="13">
        <f t="shared" si="64"/>
        <v>29.357323181035323</v>
      </c>
      <c r="X306" s="13">
        <f t="shared" si="64"/>
        <v>4.8398721693090514E-2</v>
      </c>
      <c r="Y306" s="13">
        <f t="shared" si="64"/>
        <v>5.8257017884757636E-2</v>
      </c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</row>
    <row r="307" spans="13:39" ht="12" x14ac:dyDescent="0.3">
      <c r="M307" s="14" t="s">
        <v>364</v>
      </c>
      <c r="N307" s="15" t="s">
        <v>243</v>
      </c>
      <c r="O307" s="15" t="s">
        <v>35</v>
      </c>
      <c r="P307" s="16">
        <f>P306/P305</f>
        <v>0.29003886655341454</v>
      </c>
      <c r="Q307" s="16">
        <f>Q306/SQRT(COUNT(Q296:Q304))</f>
        <v>2.6850670919113238E-3</v>
      </c>
      <c r="R307" s="16">
        <f>R306/SQRT(COUNT(R300:R304))</f>
        <v>0.16423171261628808</v>
      </c>
      <c r="S307" s="16">
        <f>S306/SQRT(COUNT(S300:S304))</f>
        <v>9.2428192147119539</v>
      </c>
      <c r="T307" s="16">
        <f>T306/SQRT(COUNT(T300:T304))</f>
        <v>18.241882779502024</v>
      </c>
      <c r="U307" s="16">
        <f>U306/SQRT(COUNT(U300:U304))</f>
        <v>78.764720117972317</v>
      </c>
      <c r="V307" s="16">
        <f>V306/SQRT(COUNT(V296:V304))</f>
        <v>2.6540545531271196</v>
      </c>
      <c r="W307" s="16">
        <f>W306/SQRT(COUNT(W296:W304))</f>
        <v>10.379381149397551</v>
      </c>
      <c r="X307" s="16">
        <f>X306/SQRT(COUNT(X300:X304))</f>
        <v>2.4199360846545257E-2</v>
      </c>
      <c r="Y307" s="16">
        <f>Y306/SQRT(COUNT(Y296:Y304))</f>
        <v>1.941900596158588E-2</v>
      </c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</row>
    <row r="308" spans="13:39" ht="12" x14ac:dyDescent="0.3">
      <c r="N308" s="6" t="s">
        <v>268</v>
      </c>
      <c r="O308" s="6" t="s">
        <v>17</v>
      </c>
      <c r="P308" s="8">
        <f>AVERAGE(P309:P311)*0.85</f>
        <v>2.9946169224323329</v>
      </c>
      <c r="Q308" s="8">
        <v>5.1011456363000002E-2</v>
      </c>
      <c r="R308" s="8">
        <v>1.27924379037</v>
      </c>
      <c r="S308" s="8">
        <v>88.010611649089824</v>
      </c>
      <c r="T308" s="8">
        <v>139.71566441027795</v>
      </c>
      <c r="U308" s="8">
        <v>498.23909035938829</v>
      </c>
      <c r="V308" s="8">
        <f>1/Q308</f>
        <v>19.603439527073125</v>
      </c>
      <c r="W308" s="8">
        <v>108.81730163100001</v>
      </c>
      <c r="X308" s="8">
        <v>0.23332149313299999</v>
      </c>
      <c r="Y308" s="8">
        <v>0.80432800000000004</v>
      </c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</row>
    <row r="309" spans="13:39" ht="12" x14ac:dyDescent="0.3">
      <c r="N309" s="6" t="s">
        <v>268</v>
      </c>
      <c r="O309" s="6" t="s">
        <v>17</v>
      </c>
      <c r="P309" s="8">
        <v>2.9625003641499998</v>
      </c>
      <c r="Q309" s="8">
        <v>4.0773263530999998E-2</v>
      </c>
      <c r="R309" s="8">
        <v>1.60595501897</v>
      </c>
      <c r="S309" s="8">
        <v>74.322165907289502</v>
      </c>
      <c r="T309" s="8">
        <v>101.77892821426344</v>
      </c>
      <c r="U309" s="8">
        <v>304.50081954637818</v>
      </c>
      <c r="V309" s="8">
        <f>1/Q309</f>
        <v>24.525875865680899</v>
      </c>
      <c r="W309" s="8">
        <v>103.379562142</v>
      </c>
      <c r="X309" s="8">
        <v>0.12553053321499999</v>
      </c>
      <c r="Y309" s="8">
        <v>0.80437899999999996</v>
      </c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</row>
    <row r="310" spans="13:39" ht="12" x14ac:dyDescent="0.3">
      <c r="N310" s="6" t="s">
        <v>268</v>
      </c>
      <c r="O310" s="6" t="s">
        <v>17</v>
      </c>
      <c r="P310" s="8">
        <v>4.4527604396099996</v>
      </c>
      <c r="Q310" s="8">
        <v>3.7518242151300001E-2</v>
      </c>
      <c r="R310" s="8">
        <v>1.1966925320999999</v>
      </c>
      <c r="S310" s="8">
        <v>88.858361362510252</v>
      </c>
      <c r="T310" s="8">
        <v>136.2824932298395</v>
      </c>
      <c r="U310" s="8">
        <v>469.59957226496266</v>
      </c>
      <c r="V310" s="8">
        <f>1/Q310</f>
        <v>26.653700777538965</v>
      </c>
      <c r="W310" s="8">
        <v>114.974616107</v>
      </c>
      <c r="X310" s="8">
        <v>0.17915982522000001</v>
      </c>
      <c r="Y310" s="8">
        <v>0.80432800000000004</v>
      </c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</row>
    <row r="311" spans="13:39" ht="12" x14ac:dyDescent="0.3">
      <c r="N311" s="6" t="s">
        <v>268</v>
      </c>
      <c r="O311" s="6" t="s">
        <v>17</v>
      </c>
      <c r="P311" s="8">
        <v>3.1539753930600001</v>
      </c>
      <c r="Q311" s="8">
        <v>2.4250956501700002E-2</v>
      </c>
      <c r="R311" s="8">
        <v>1.1305459973200001</v>
      </c>
      <c r="S311" s="8">
        <v>107.6438466658449</v>
      </c>
      <c r="T311" s="8">
        <v>158.64971804066548</v>
      </c>
      <c r="U311" s="8">
        <v>523.11343198811403</v>
      </c>
      <c r="V311" s="8">
        <f>1/Q311</f>
        <v>41.235486935531782</v>
      </c>
      <c r="W311" s="8">
        <f>AVERAGE(W308:W310)*0.85</f>
        <v>92.698585965999996</v>
      </c>
      <c r="X311" s="8">
        <v>0.114408798439</v>
      </c>
      <c r="Y311" s="8">
        <v>0.80432800000000004</v>
      </c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</row>
    <row r="312" spans="13:39" ht="12" x14ac:dyDescent="0.3">
      <c r="M312" s="9" t="s">
        <v>362</v>
      </c>
      <c r="N312" s="10" t="s">
        <v>268</v>
      </c>
      <c r="O312" s="10" t="s">
        <v>17</v>
      </c>
      <c r="P312" s="11">
        <f>AVERAGE(P308:P309,P311)</f>
        <v>3.0370308932141108</v>
      </c>
      <c r="Q312" s="11">
        <f t="shared" ref="Q312:Y312" si="65">AVERAGE(Q308:Q311)</f>
        <v>3.8388479636750003E-2</v>
      </c>
      <c r="R312" s="11">
        <f t="shared" si="65"/>
        <v>1.3031093346900002</v>
      </c>
      <c r="S312" s="11">
        <f t="shared" si="65"/>
        <v>89.708746396183614</v>
      </c>
      <c r="T312" s="11">
        <f t="shared" si="65"/>
        <v>134.10670097376158</v>
      </c>
      <c r="U312" s="11">
        <f t="shared" si="65"/>
        <v>448.8632285397108</v>
      </c>
      <c r="V312" s="11">
        <f t="shared" si="65"/>
        <v>28.004625776456194</v>
      </c>
      <c r="W312" s="11">
        <f t="shared" si="65"/>
        <v>104.9675164615</v>
      </c>
      <c r="X312" s="11">
        <f t="shared" si="65"/>
        <v>0.16310516250174997</v>
      </c>
      <c r="Y312" s="11">
        <f t="shared" si="65"/>
        <v>0.80434074999999994</v>
      </c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</row>
    <row r="313" spans="13:39" ht="12" x14ac:dyDescent="0.3">
      <c r="M313" s="9" t="s">
        <v>363</v>
      </c>
      <c r="N313" s="12" t="s">
        <v>268</v>
      </c>
      <c r="O313" s="12" t="s">
        <v>17</v>
      </c>
      <c r="P313" s="13">
        <f>_xlfn.STDEV.S(P308:P309,P311)</f>
        <v>0.1025420906853839</v>
      </c>
      <c r="Q313" s="13">
        <f t="shared" ref="Q313:Y313" si="66">_xlfn.STDEV.S(Q308:Q311)</f>
        <v>1.1040132990275052E-2</v>
      </c>
      <c r="R313" s="13">
        <f t="shared" si="66"/>
        <v>0.21086149796367951</v>
      </c>
      <c r="S313" s="13">
        <f t="shared" si="66"/>
        <v>13.687238547260069</v>
      </c>
      <c r="T313" s="13">
        <f t="shared" si="66"/>
        <v>23.689935423507709</v>
      </c>
      <c r="U313" s="13">
        <f t="shared" si="66"/>
        <v>98.694088853749122</v>
      </c>
      <c r="V313" s="13">
        <f t="shared" si="66"/>
        <v>9.3016542740521206</v>
      </c>
      <c r="W313" s="13">
        <f t="shared" si="66"/>
        <v>9.4518277525301446</v>
      </c>
      <c r="X313" s="13">
        <f t="shared" si="66"/>
        <v>5.4684775216027603E-2</v>
      </c>
      <c r="Y313" s="13">
        <f t="shared" si="66"/>
        <v>2.5499999999956113E-5</v>
      </c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</row>
    <row r="314" spans="13:39" ht="12" x14ac:dyDescent="0.3">
      <c r="M314" s="14" t="s">
        <v>364</v>
      </c>
      <c r="N314" s="15" t="s">
        <v>268</v>
      </c>
      <c r="O314" s="15" t="s">
        <v>17</v>
      </c>
      <c r="P314" s="16">
        <f>P313/P312</f>
        <v>3.3763927431394315E-2</v>
      </c>
      <c r="Q314" s="16">
        <f>Q313/SQRT(COUNT(Q308:Q311))</f>
        <v>5.5200664951375262E-3</v>
      </c>
      <c r="R314" s="16">
        <f>R313/SQRT(COUNT(R307:R311))</f>
        <v>9.4300128656844173E-2</v>
      </c>
      <c r="S314" s="16">
        <f>S313/SQRT(COUNT(S307:S311))</f>
        <v>6.1211191631857957</v>
      </c>
      <c r="T314" s="16">
        <f>T313/SQRT(COUNT(T307:T311))</f>
        <v>10.5944611979087</v>
      </c>
      <c r="U314" s="16">
        <f>U313/SQRT(COUNT(U307:U311))</f>
        <v>44.137338330877462</v>
      </c>
      <c r="V314" s="16">
        <f>V313/SQRT(COUNT(V308:V311))</f>
        <v>4.6508271370260603</v>
      </c>
      <c r="W314" s="16">
        <f>W313/SQRT(COUNT(W308:W311))</f>
        <v>4.7259138762650723</v>
      </c>
      <c r="X314" s="16">
        <f>X313/SQRT(COUNT(X307:X311))</f>
        <v>2.4455774943466693E-2</v>
      </c>
      <c r="Y314" s="16">
        <f>Y313/SQRT(COUNT(Y307:Y311))</f>
        <v>1.14039466852293E-5</v>
      </c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</row>
    <row r="315" spans="13:39" ht="12" x14ac:dyDescent="0.3">
      <c r="N315" s="6" t="s">
        <v>268</v>
      </c>
      <c r="O315" s="6" t="s">
        <v>26</v>
      </c>
      <c r="P315" s="8">
        <v>5.3744038612200002</v>
      </c>
      <c r="Q315" s="8">
        <v>3.9198722744599998E-2</v>
      </c>
      <c r="R315" s="8">
        <v>3.2259886742699999</v>
      </c>
      <c r="S315" s="8">
        <v>150.67472035818949</v>
      </c>
      <c r="T315" s="8">
        <v>201.89622528724351</v>
      </c>
      <c r="U315" s="8">
        <v>583.91097212895886</v>
      </c>
      <c r="V315" s="8">
        <f t="shared" ref="V315:V323" si="67">1/Q315</f>
        <v>25.511035308867548</v>
      </c>
      <c r="W315" s="8">
        <v>99.656150613199998</v>
      </c>
      <c r="X315" s="8">
        <v>0.151713158071</v>
      </c>
      <c r="Y315" s="8">
        <v>0.84327808471455001</v>
      </c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</row>
    <row r="316" spans="13:39" ht="12" x14ac:dyDescent="0.3">
      <c r="N316" s="6" t="s">
        <v>268</v>
      </c>
      <c r="O316" s="6" t="s">
        <v>26</v>
      </c>
      <c r="P316" s="8">
        <v>3.7424146444100002</v>
      </c>
      <c r="Q316" s="8">
        <v>3.7833261545000003E-2</v>
      </c>
      <c r="R316" s="8">
        <v>0.78751890319999995</v>
      </c>
      <c r="S316" s="8">
        <v>69.375238498042876</v>
      </c>
      <c r="T316" s="8">
        <v>109.39393936040085</v>
      </c>
      <c r="U316" s="8">
        <v>387.60156137542839</v>
      </c>
      <c r="V316" s="8">
        <f t="shared" si="67"/>
        <v>26.431768215663098</v>
      </c>
      <c r="W316" s="8">
        <v>63.1460795283</v>
      </c>
      <c r="X316" s="8">
        <v>0.22251819807000001</v>
      </c>
      <c r="Y316" s="8">
        <v>0.82780847145500003</v>
      </c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</row>
    <row r="317" spans="13:39" ht="12" x14ac:dyDescent="0.3">
      <c r="N317" s="6" t="s">
        <v>268</v>
      </c>
      <c r="O317" s="6" t="s">
        <v>26</v>
      </c>
      <c r="P317" s="8">
        <v>5.2343175106500004</v>
      </c>
      <c r="Q317" s="8">
        <v>4.0458768180999999E-2</v>
      </c>
      <c r="R317" s="8">
        <v>2.6349411918599999</v>
      </c>
      <c r="S317" s="8">
        <v>126.37898416138287</v>
      </c>
      <c r="T317" s="8">
        <v>175.64611984025393</v>
      </c>
      <c r="U317" s="8">
        <v>536.94264081932147</v>
      </c>
      <c r="V317" s="8">
        <f t="shared" si="67"/>
        <v>24.716521163627863</v>
      </c>
      <c r="W317" s="8">
        <v>157.16902234400001</v>
      </c>
      <c r="X317" s="8" t="s">
        <v>15</v>
      </c>
      <c r="Y317" s="8">
        <v>0.83278084714550005</v>
      </c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</row>
    <row r="318" spans="13:39" ht="12" x14ac:dyDescent="0.3">
      <c r="N318" s="6" t="s">
        <v>268</v>
      </c>
      <c r="O318" s="6" t="s">
        <v>26</v>
      </c>
      <c r="P318" s="8">
        <f>AVERAGE(P319:P320,P315:P317,P322:P323)*0.8</f>
        <v>3.4160580044982867</v>
      </c>
      <c r="Q318" s="8">
        <v>4.9259917007599997E-2</v>
      </c>
      <c r="R318" s="8">
        <v>1.6948759424299999</v>
      </c>
      <c r="S318" s="8">
        <v>142.27064115378056</v>
      </c>
      <c r="T318" s="8">
        <v>230.07034845990214</v>
      </c>
      <c r="U318" s="8">
        <v>834.65149864286593</v>
      </c>
      <c r="V318" s="8">
        <f t="shared" si="67"/>
        <v>20.300480811726022</v>
      </c>
      <c r="W318" s="8">
        <v>146.886494618</v>
      </c>
      <c r="X318" s="8">
        <v>0.21403166179399999</v>
      </c>
      <c r="Y318" s="8">
        <v>0.80780847145500001</v>
      </c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</row>
    <row r="319" spans="13:39" ht="12" x14ac:dyDescent="0.3">
      <c r="N319" s="6" t="s">
        <v>268</v>
      </c>
      <c r="O319" s="6" t="s">
        <v>26</v>
      </c>
      <c r="P319" s="8">
        <v>4.9593273506799997</v>
      </c>
      <c r="Q319" s="8">
        <v>5.2795272946199998E-2</v>
      </c>
      <c r="R319" s="8">
        <v>0.94382786282099995</v>
      </c>
      <c r="S319" s="8">
        <v>64.403177100084491</v>
      </c>
      <c r="T319" s="8">
        <v>102.56972414450897</v>
      </c>
      <c r="U319" s="8">
        <v>366.89185092541391</v>
      </c>
      <c r="V319" s="8">
        <f t="shared" si="67"/>
        <v>18.941089688446741</v>
      </c>
      <c r="W319" s="8">
        <f>AVERAGE(W315:W318,W320:W322)*0.95</f>
        <v>111.45157794214585</v>
      </c>
      <c r="X319" s="8">
        <v>0.27300505533699998</v>
      </c>
      <c r="Y319" s="8">
        <v>0.82780847145500003</v>
      </c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</row>
    <row r="320" spans="13:39" ht="12" x14ac:dyDescent="0.3">
      <c r="N320" s="6" t="s">
        <v>268</v>
      </c>
      <c r="O320" s="6" t="s">
        <v>26</v>
      </c>
      <c r="P320" s="8">
        <v>4.19531035311</v>
      </c>
      <c r="Q320" s="8">
        <v>4.3555380893100001E-2</v>
      </c>
      <c r="R320" s="8">
        <v>2.1750720565899999</v>
      </c>
      <c r="S320" s="8">
        <v>95.78060239583273</v>
      </c>
      <c r="T320" s="8">
        <v>132.35085566264962</v>
      </c>
      <c r="U320" s="8">
        <v>401.246236496579</v>
      </c>
      <c r="V320" s="8">
        <f t="shared" si="67"/>
        <v>22.959275742630894</v>
      </c>
      <c r="W320" s="8">
        <v>123.443558133</v>
      </c>
      <c r="X320" s="8">
        <v>0.13564874209</v>
      </c>
      <c r="Y320" s="8">
        <v>0.80808471454999997</v>
      </c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spans="13:39" ht="12" x14ac:dyDescent="0.3">
      <c r="N321" s="6" t="s">
        <v>268</v>
      </c>
      <c r="O321" s="6" t="s">
        <v>26</v>
      </c>
      <c r="P321" s="8">
        <f>AVERAGE(P322:P323,P315:P320)*0.85</f>
        <v>3.5388225890349432</v>
      </c>
      <c r="Q321" s="8">
        <v>5.6366308641100003E-2</v>
      </c>
      <c r="R321" s="8">
        <v>1.2004619115799999</v>
      </c>
      <c r="S321" s="8">
        <v>92.925059746696746</v>
      </c>
      <c r="T321" s="8">
        <v>151.06427871269111</v>
      </c>
      <c r="U321" s="8">
        <v>550.62981270841954</v>
      </c>
      <c r="V321" s="8">
        <f t="shared" si="67"/>
        <v>17.741094354205075</v>
      </c>
      <c r="W321" s="8">
        <v>113.603397556</v>
      </c>
      <c r="X321" s="8">
        <v>0.25693297483700001</v>
      </c>
      <c r="Y321" s="8">
        <v>0.81455</v>
      </c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</row>
    <row r="322" spans="13:39" ht="12" x14ac:dyDescent="0.3">
      <c r="N322" s="6" t="s">
        <v>268</v>
      </c>
      <c r="O322" s="6" t="s">
        <v>26</v>
      </c>
      <c r="P322" s="8">
        <v>3.1935665847000001</v>
      </c>
      <c r="Q322" s="8">
        <v>4.9220004519500003E-2</v>
      </c>
      <c r="R322" s="8">
        <v>1.81569383149</v>
      </c>
      <c r="S322" s="8">
        <v>68.541515113330277</v>
      </c>
      <c r="T322" s="8">
        <v>92.932606202994435</v>
      </c>
      <c r="U322" s="8">
        <v>273.85006871613297</v>
      </c>
      <c r="V322" s="8">
        <f t="shared" si="67"/>
        <v>20.316942466021505</v>
      </c>
      <c r="W322" s="8" t="s">
        <v>15</v>
      </c>
      <c r="X322" s="8">
        <v>0.16343211013200001</v>
      </c>
      <c r="Y322" s="8">
        <v>0.80471455000000003</v>
      </c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</row>
    <row r="323" spans="13:39" ht="12" x14ac:dyDescent="0.3">
      <c r="N323" s="6" t="s">
        <v>268</v>
      </c>
      <c r="O323" s="6" t="s">
        <v>26</v>
      </c>
      <c r="P323" s="8">
        <v>3.19116723459</v>
      </c>
      <c r="Q323" s="8">
        <v>5.9019474607699997E-2</v>
      </c>
      <c r="R323" s="8">
        <v>0.559089581946</v>
      </c>
      <c r="S323" s="8">
        <v>36.442555931726282</v>
      </c>
      <c r="T323" s="8">
        <v>58.483005899802897</v>
      </c>
      <c r="U323" s="8">
        <v>210.68550500249586</v>
      </c>
      <c r="V323" s="8">
        <f t="shared" si="67"/>
        <v>16.943559844389647</v>
      </c>
      <c r="W323" s="8" t="s">
        <v>15</v>
      </c>
      <c r="X323" s="8" t="s">
        <v>15</v>
      </c>
      <c r="Y323" s="8">
        <v>0.80278084714550002</v>
      </c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</row>
    <row r="324" spans="13:39" ht="12" x14ac:dyDescent="0.3">
      <c r="M324" s="9" t="s">
        <v>362</v>
      </c>
      <c r="N324" s="10" t="s">
        <v>268</v>
      </c>
      <c r="O324" s="10" t="s">
        <v>26</v>
      </c>
      <c r="P324" s="11">
        <f>AVERAGE(P316:P323)</f>
        <v>3.9338730339591539</v>
      </c>
      <c r="Q324" s="11">
        <f t="shared" ref="Q324:Y324" si="68">AVERAGE(Q315:Q323)</f>
        <v>4.7523012342866669E-2</v>
      </c>
      <c r="R324" s="11">
        <f t="shared" si="68"/>
        <v>1.6708299951318888</v>
      </c>
      <c r="S324" s="11">
        <f t="shared" si="68"/>
        <v>94.088054939896267</v>
      </c>
      <c r="T324" s="11">
        <f t="shared" si="68"/>
        <v>139.37856706338306</v>
      </c>
      <c r="U324" s="11">
        <f t="shared" si="68"/>
        <v>460.71223853506842</v>
      </c>
      <c r="V324" s="11">
        <f t="shared" si="68"/>
        <v>21.540196399508712</v>
      </c>
      <c r="W324" s="11">
        <f t="shared" si="68"/>
        <v>116.47946867637799</v>
      </c>
      <c r="X324" s="11">
        <f t="shared" si="68"/>
        <v>0.20246884290442857</v>
      </c>
      <c r="Y324" s="11">
        <f t="shared" si="68"/>
        <v>0.81884605088006102</v>
      </c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</row>
    <row r="325" spans="13:39" ht="12" x14ac:dyDescent="0.3">
      <c r="M325" s="9" t="s">
        <v>363</v>
      </c>
      <c r="N325" s="12" t="s">
        <v>268</v>
      </c>
      <c r="O325" s="12" t="s">
        <v>26</v>
      </c>
      <c r="P325" s="13">
        <f>_xlfn.STDEV.S(P316:P323)</f>
        <v>0.79026044363436843</v>
      </c>
      <c r="Q325" s="13">
        <f t="shared" ref="Q325:Y325" si="69">_xlfn.STDEV.S(Q315:Q323)</f>
        <v>7.6884377387142679E-3</v>
      </c>
      <c r="R325" s="13">
        <f t="shared" si="69"/>
        <v>0.89371669014948274</v>
      </c>
      <c r="S325" s="13">
        <f t="shared" si="69"/>
        <v>38.79123326213967</v>
      </c>
      <c r="T325" s="13">
        <f t="shared" si="69"/>
        <v>55.44143834162243</v>
      </c>
      <c r="U325" s="13">
        <f t="shared" si="69"/>
        <v>188.42081301622514</v>
      </c>
      <c r="V325" s="13">
        <f t="shared" si="69"/>
        <v>3.4847651688504175</v>
      </c>
      <c r="W325" s="13">
        <f t="shared" si="69"/>
        <v>31.063782355138823</v>
      </c>
      <c r="X325" s="13">
        <f t="shared" si="69"/>
        <v>5.3295256630767757E-2</v>
      </c>
      <c r="Y325" s="13">
        <f t="shared" si="69"/>
        <v>1.4429282076157242E-2</v>
      </c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</row>
    <row r="326" spans="13:39" ht="12" x14ac:dyDescent="0.3">
      <c r="M326" s="14" t="s">
        <v>364</v>
      </c>
      <c r="N326" s="15" t="s">
        <v>268</v>
      </c>
      <c r="O326" s="15" t="s">
        <v>26</v>
      </c>
      <c r="P326" s="16">
        <f>P325/P324</f>
        <v>0.20088610812104157</v>
      </c>
      <c r="Q326" s="16">
        <f>Q325/SQRT(COUNT(Q315:Q323))</f>
        <v>2.5628125795714228E-3</v>
      </c>
      <c r="R326" s="16">
        <f>R325/SQRT(COUNT(R319:R323))</f>
        <v>0.39968225436007199</v>
      </c>
      <c r="S326" s="16">
        <f>S325/SQRT(COUNT(S319:S323))</f>
        <v>17.347966901039044</v>
      </c>
      <c r="T326" s="16">
        <f>T325/SQRT(COUNT(T319:T323))</f>
        <v>24.79416498044619</v>
      </c>
      <c r="U326" s="16">
        <f>U325/SQRT(COUNT(U319:U323))</f>
        <v>84.264349256011315</v>
      </c>
      <c r="V326" s="16">
        <f>V325/SQRT(COUNT(V315:V323))</f>
        <v>1.1615883896168058</v>
      </c>
      <c r="W326" s="16">
        <f>W325/SQRT(COUNT(W315:W323))</f>
        <v>11.741006127533376</v>
      </c>
      <c r="X326" s="16">
        <f>X325/SQRT(COUNT(X319:X323))</f>
        <v>2.6647628315383878E-2</v>
      </c>
      <c r="Y326" s="16">
        <f>Y325/SQRT(COUNT(Y315:Y323))</f>
        <v>4.8097606920524142E-3</v>
      </c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</row>
    <row r="327" spans="13:39" ht="12" x14ac:dyDescent="0.3">
      <c r="N327" s="6" t="s">
        <v>268</v>
      </c>
      <c r="O327" s="6" t="s">
        <v>35</v>
      </c>
      <c r="P327" s="8">
        <v>7.9959698934899999</v>
      </c>
      <c r="Q327" s="8">
        <v>5.6366308641100003E-2</v>
      </c>
      <c r="R327" s="8">
        <v>1.2004619115799999</v>
      </c>
      <c r="S327" s="8">
        <v>92.925059746696746</v>
      </c>
      <c r="T327" s="8">
        <v>151.06427871269111</v>
      </c>
      <c r="U327" s="8">
        <v>550.62981270841954</v>
      </c>
      <c r="V327" s="8">
        <f t="shared" ref="V327:V332" si="70">1/Q327</f>
        <v>17.741094354205075</v>
      </c>
      <c r="W327" s="8">
        <v>113.603397556</v>
      </c>
      <c r="X327" s="8">
        <v>0.25693297483700001</v>
      </c>
      <c r="Y327" s="8">
        <v>0.80432780847145491</v>
      </c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</row>
    <row r="328" spans="13:39" ht="12" x14ac:dyDescent="0.3">
      <c r="N328" s="6" t="s">
        <v>268</v>
      </c>
      <c r="O328" s="6" t="s">
        <v>35</v>
      </c>
      <c r="P328" s="8">
        <v>3.1935665847000001</v>
      </c>
      <c r="Q328" s="8">
        <v>4.9220004519500003E-2</v>
      </c>
      <c r="R328" s="8">
        <v>1.81569383149</v>
      </c>
      <c r="S328" s="8">
        <v>68.541515113330277</v>
      </c>
      <c r="T328" s="8">
        <v>92.932606202994435</v>
      </c>
      <c r="U328" s="8">
        <v>273.85006871613297</v>
      </c>
      <c r="V328" s="8">
        <f t="shared" si="70"/>
        <v>20.316942466021505</v>
      </c>
      <c r="W328" s="8">
        <v>48.199241600699999</v>
      </c>
      <c r="X328" s="8">
        <v>0.16343211013200001</v>
      </c>
      <c r="Y328" s="8">
        <v>0.80432780847145491</v>
      </c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spans="13:39" ht="12" x14ac:dyDescent="0.3">
      <c r="N329" s="6" t="s">
        <v>268</v>
      </c>
      <c r="O329" s="6" t="s">
        <v>35</v>
      </c>
      <c r="P329" s="8">
        <v>3.19116723459</v>
      </c>
      <c r="Q329" s="8">
        <v>5.9019474607699997E-2</v>
      </c>
      <c r="R329" s="8">
        <v>0.559089581946</v>
      </c>
      <c r="S329" s="8">
        <v>36.442555931726282</v>
      </c>
      <c r="T329" s="8">
        <v>58.483005899802897</v>
      </c>
      <c r="U329" s="8">
        <v>210.68550500249586</v>
      </c>
      <c r="V329" s="8">
        <f t="shared" si="70"/>
        <v>16.943559844389647</v>
      </c>
      <c r="W329" s="8">
        <f>AVERAGE(W327:W328,W330:W332)*0.95</f>
        <v>78.45874836045499</v>
      </c>
      <c r="X329" s="8" t="s">
        <v>15</v>
      </c>
      <c r="Y329" s="8">
        <v>0.80432780847145491</v>
      </c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</row>
    <row r="330" spans="13:39" ht="12" x14ac:dyDescent="0.3">
      <c r="N330" s="6" t="s">
        <v>268</v>
      </c>
      <c r="O330" s="6" t="s">
        <v>35</v>
      </c>
      <c r="P330" s="8">
        <v>6.9220163539400001</v>
      </c>
      <c r="Q330" s="8">
        <v>4.9811529153200002E-2</v>
      </c>
      <c r="R330" s="8">
        <v>0.81428203775499997</v>
      </c>
      <c r="S330" s="8">
        <v>87.702104590196697</v>
      </c>
      <c r="T330" s="8">
        <v>145.05959045869295</v>
      </c>
      <c r="U330" s="8">
        <v>536.79154487872347</v>
      </c>
      <c r="V330" s="8">
        <f t="shared" si="70"/>
        <v>20.07567358400917</v>
      </c>
      <c r="W330" s="8">
        <v>105.26675778400001</v>
      </c>
      <c r="X330" s="8">
        <v>0.25256484573999999</v>
      </c>
      <c r="Y330" s="8">
        <v>0.80432780847145491</v>
      </c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</row>
    <row r="331" spans="13:39" ht="12" x14ac:dyDescent="0.3">
      <c r="N331" s="6" t="s">
        <v>268</v>
      </c>
      <c r="O331" s="6" t="s">
        <v>35</v>
      </c>
      <c r="P331" s="8">
        <v>1.7063965443</v>
      </c>
      <c r="Q331" s="8">
        <v>3.6379284941700001E-2</v>
      </c>
      <c r="R331" s="8">
        <v>0.67543919037300004</v>
      </c>
      <c r="S331" s="8">
        <v>40.490039440595339</v>
      </c>
      <c r="T331" s="8">
        <v>58.745006098002236</v>
      </c>
      <c r="U331" s="8">
        <v>190.07361727791422</v>
      </c>
      <c r="V331" s="8">
        <f t="shared" si="70"/>
        <v>27.488170853345807</v>
      </c>
      <c r="W331" s="8" t="s">
        <v>15</v>
      </c>
      <c r="X331" s="8" t="s">
        <v>15</v>
      </c>
      <c r="Y331" s="8">
        <v>0.80432780847145491</v>
      </c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</row>
    <row r="332" spans="13:39" ht="12" x14ac:dyDescent="0.3">
      <c r="N332" s="6" t="s">
        <v>268</v>
      </c>
      <c r="O332" s="6" t="s">
        <v>35</v>
      </c>
      <c r="P332" s="8">
        <f>AVERAGE(P333:P335,P328:P331)*0.8</f>
        <v>2.1167828601794287</v>
      </c>
      <c r="Q332" s="8">
        <v>5.49721811186E-2</v>
      </c>
      <c r="R332" s="8">
        <v>1.54061399275</v>
      </c>
      <c r="S332" s="8">
        <v>64.843894717857722</v>
      </c>
      <c r="T332" s="8">
        <v>95.619391083492587</v>
      </c>
      <c r="U332" s="8">
        <v>315.47747406501139</v>
      </c>
      <c r="V332" s="8">
        <f t="shared" si="70"/>
        <v>18.191019160082899</v>
      </c>
      <c r="W332" s="8">
        <v>63.283227734900002</v>
      </c>
      <c r="X332" s="8">
        <v>0.216451088623</v>
      </c>
      <c r="Y332" s="8">
        <v>0.80432780847145491</v>
      </c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</row>
    <row r="333" spans="13:39" ht="12" x14ac:dyDescent="0.3">
      <c r="N333" s="6" t="s">
        <v>268</v>
      </c>
      <c r="O333" s="6" t="s">
        <v>35</v>
      </c>
      <c r="P333" s="8">
        <v>1.0240978402900001</v>
      </c>
      <c r="Q333" s="8" t="s">
        <v>15</v>
      </c>
      <c r="R333" s="8">
        <v>0.91226909303899995</v>
      </c>
      <c r="S333" s="8">
        <v>2.9147533352525779E-2</v>
      </c>
      <c r="T333" s="8">
        <v>3.4915367686053134E-2</v>
      </c>
      <c r="U333" s="8">
        <v>8.0066864781161415E-2</v>
      </c>
      <c r="V333" s="8" t="s">
        <v>15</v>
      </c>
      <c r="W333" s="8" t="s">
        <v>15</v>
      </c>
      <c r="X333" s="8">
        <f>AVERAGE(X327:X332)*0.8</f>
        <v>0.17787620386640002</v>
      </c>
      <c r="Y333" s="8">
        <v>0.70078668855056869</v>
      </c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</row>
    <row r="334" spans="13:39" ht="12" x14ac:dyDescent="0.3">
      <c r="N334" s="6" t="s">
        <v>268</v>
      </c>
      <c r="O334" s="6" t="s">
        <v>35</v>
      </c>
      <c r="P334" s="8">
        <v>1.00867961362</v>
      </c>
      <c r="Q334" s="8" t="s">
        <v>15</v>
      </c>
      <c r="R334" s="8">
        <v>0.94828971983699994</v>
      </c>
      <c r="S334" s="8">
        <v>4.6466581324767921E-2</v>
      </c>
      <c r="T334" s="8">
        <v>5.4243393734773819E-2</v>
      </c>
      <c r="U334" s="8">
        <v>0.11560570626077481</v>
      </c>
      <c r="V334" s="8" t="s">
        <v>15</v>
      </c>
      <c r="W334" s="8" t="s">
        <v>15</v>
      </c>
      <c r="X334" s="8">
        <f>AVERAGE(X327:X333)*1.2</f>
        <v>0.25614173356761594</v>
      </c>
      <c r="Y334" s="8">
        <v>0.72633019701562773</v>
      </c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</row>
    <row r="335" spans="13:39" ht="12" x14ac:dyDescent="0.3">
      <c r="N335" s="6" t="s">
        <v>268</v>
      </c>
      <c r="O335" s="6" t="s">
        <v>35</v>
      </c>
      <c r="P335" s="8">
        <v>1.4759258551300001</v>
      </c>
      <c r="Q335" s="8">
        <v>6.9758700114600003E-2</v>
      </c>
      <c r="R335" s="8">
        <v>1.11845221675</v>
      </c>
      <c r="S335" s="8">
        <v>29.005065090767722</v>
      </c>
      <c r="T335" s="8">
        <v>36.67326817807114</v>
      </c>
      <c r="U335" s="8">
        <v>95.40761067667475</v>
      </c>
      <c r="V335" s="8">
        <f>1/Q335</f>
        <v>14.335129501512988</v>
      </c>
      <c r="W335" s="8" t="s">
        <v>15</v>
      </c>
      <c r="X335" s="8">
        <v>0.32083196738199998</v>
      </c>
      <c r="Y335" s="8">
        <v>0.80432780847145491</v>
      </c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</row>
    <row r="336" spans="13:39" ht="12" x14ac:dyDescent="0.3">
      <c r="M336" s="9" t="s">
        <v>362</v>
      </c>
      <c r="N336" s="10" t="s">
        <v>268</v>
      </c>
      <c r="O336" s="10" t="s">
        <v>35</v>
      </c>
      <c r="P336" s="11">
        <f>AVERAGE(P331:P335,P328:P329)</f>
        <v>1.9595166475442041</v>
      </c>
      <c r="Q336" s="11">
        <f t="shared" ref="Q336:Y336" si="71">AVERAGE(Q327:Q335)</f>
        <v>5.3646783299485711E-2</v>
      </c>
      <c r="R336" s="11">
        <f t="shared" si="71"/>
        <v>1.0649546195022224</v>
      </c>
      <c r="S336" s="11">
        <f t="shared" si="71"/>
        <v>46.669538749538674</v>
      </c>
      <c r="T336" s="11">
        <f t="shared" si="71"/>
        <v>70.962922821685353</v>
      </c>
      <c r="U336" s="11">
        <f t="shared" si="71"/>
        <v>241.45681176626826</v>
      </c>
      <c r="V336" s="11">
        <f t="shared" si="71"/>
        <v>19.298798537652441</v>
      </c>
      <c r="W336" s="11">
        <f t="shared" si="71"/>
        <v>81.762274607210998</v>
      </c>
      <c r="X336" s="11">
        <f t="shared" si="71"/>
        <v>0.23489013202114511</v>
      </c>
      <c r="Y336" s="11">
        <f t="shared" si="71"/>
        <v>0.7841568383184867</v>
      </c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</row>
    <row r="337" spans="13:39" ht="12" x14ac:dyDescent="0.3">
      <c r="M337" s="9" t="s">
        <v>363</v>
      </c>
      <c r="N337" s="12" t="s">
        <v>268</v>
      </c>
      <c r="O337" s="12" t="s">
        <v>35</v>
      </c>
      <c r="P337" s="13">
        <f>_xlfn.STDEV.S(P331:P335,P328:P329)</f>
        <v>0.92570732675271195</v>
      </c>
      <c r="Q337" s="13">
        <f t="shared" ref="Q337:Y337" si="72">_xlfn.STDEV.S(Q327:Q335)</f>
        <v>1.0247635638549255E-2</v>
      </c>
      <c r="R337" s="13">
        <f t="shared" si="72"/>
        <v>0.40596604548419091</v>
      </c>
      <c r="S337" s="13">
        <f t="shared" si="72"/>
        <v>34.34345501186462</v>
      </c>
      <c r="T337" s="13">
        <f t="shared" si="72"/>
        <v>55.381383465181621</v>
      </c>
      <c r="U337" s="13">
        <f t="shared" si="72"/>
        <v>203.33614917592993</v>
      </c>
      <c r="V337" s="13">
        <f t="shared" si="72"/>
        <v>4.1341010287735731</v>
      </c>
      <c r="W337" s="13">
        <f t="shared" si="72"/>
        <v>27.591590583074755</v>
      </c>
      <c r="X337" s="13">
        <f t="shared" si="72"/>
        <v>5.3747476336588704E-2</v>
      </c>
      <c r="Y337" s="13">
        <f t="shared" si="72"/>
        <v>4.0531744619307551E-2</v>
      </c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</row>
    <row r="338" spans="13:39" ht="12" x14ac:dyDescent="0.3">
      <c r="M338" s="14" t="s">
        <v>364</v>
      </c>
      <c r="N338" s="15" t="s">
        <v>268</v>
      </c>
      <c r="O338" s="15" t="s">
        <v>35</v>
      </c>
      <c r="P338" s="16">
        <f>P337/P336</f>
        <v>0.47241615829744016</v>
      </c>
      <c r="Q338" s="16">
        <f>Q337/SQRT(COUNT(Q327:Q335))</f>
        <v>3.8732422037148447E-3</v>
      </c>
      <c r="R338" s="16">
        <f>R337/SQRT(COUNT(R331:R335))</f>
        <v>0.18155353485188447</v>
      </c>
      <c r="S338" s="16">
        <f>S337/SQRT(COUNT(S331:S335))</f>
        <v>15.358859997747027</v>
      </c>
      <c r="T338" s="16">
        <f>T337/SQRT(COUNT(T331:T335))</f>
        <v>24.76730762322579</v>
      </c>
      <c r="U338" s="16">
        <f>U337/SQRT(COUNT(U331:U335))</f>
        <v>90.934690368083437</v>
      </c>
      <c r="V338" s="16">
        <f>V337/SQRT(COUNT(V327:V335))</f>
        <v>1.5625433167073075</v>
      </c>
      <c r="W338" s="16">
        <f>W337/SQRT(COUNT(W327:W335))</f>
        <v>12.339334430219642</v>
      </c>
      <c r="X338" s="16">
        <f>X337/SQRT(COUNT(X331:X335))</f>
        <v>2.6873738168294352E-2</v>
      </c>
      <c r="Y338" s="16">
        <f>Y337/SQRT(COUNT(Y327:Y335))</f>
        <v>1.3510581539769183E-2</v>
      </c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</row>
    <row r="339" spans="13:39" ht="12" x14ac:dyDescent="0.3">
      <c r="N339" s="6" t="s">
        <v>291</v>
      </c>
      <c r="O339" s="6" t="s">
        <v>17</v>
      </c>
      <c r="P339" s="8">
        <v>16.417218099999999</v>
      </c>
      <c r="Q339" s="8">
        <v>5.2879108269899999E-2</v>
      </c>
      <c r="R339" s="8">
        <f>AVERAGE(R340:R344)*0.9</f>
        <v>0.90171089132111992</v>
      </c>
      <c r="S339" s="8">
        <v>173.75550972739447</v>
      </c>
      <c r="T339" s="8">
        <v>304.8294221764142</v>
      </c>
      <c r="U339" s="8">
        <v>1182.2550314292771</v>
      </c>
      <c r="V339" s="8">
        <f t="shared" ref="V339:V345" si="73">1/Q339</f>
        <v>18.911060203509955</v>
      </c>
      <c r="W339" s="8">
        <v>214.99524119500001</v>
      </c>
      <c r="X339" s="8">
        <v>0.29015947945800002</v>
      </c>
      <c r="Y339" s="8">
        <v>0.80802799999999997</v>
      </c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</row>
    <row r="340" spans="13:39" ht="12" x14ac:dyDescent="0.3">
      <c r="N340" s="6" t="s">
        <v>291</v>
      </c>
      <c r="O340" s="6" t="s">
        <v>17</v>
      </c>
      <c r="P340" s="8">
        <f>AVERAGE(P339,P341)*0.8</f>
        <v>11.81469134448</v>
      </c>
      <c r="Q340" s="8">
        <v>4.1827081955300001E-2</v>
      </c>
      <c r="R340" s="8">
        <v>1.0414633039500001</v>
      </c>
      <c r="S340" s="8">
        <v>78.159868487319557</v>
      </c>
      <c r="T340" s="8">
        <v>122.20924233705841</v>
      </c>
      <c r="U340" s="8">
        <v>429.44459130378726</v>
      </c>
      <c r="V340" s="8">
        <f t="shared" si="73"/>
        <v>23.907955163324221</v>
      </c>
      <c r="W340" s="8">
        <v>110.121524155</v>
      </c>
      <c r="X340" s="8">
        <v>0.191196985445</v>
      </c>
      <c r="Y340" s="8">
        <v>0.81856080041046697</v>
      </c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</row>
    <row r="341" spans="13:39" ht="12" x14ac:dyDescent="0.3">
      <c r="N341" s="6" t="s">
        <v>291</v>
      </c>
      <c r="O341" s="6" t="s">
        <v>17</v>
      </c>
      <c r="P341" s="8">
        <v>13.1195102612</v>
      </c>
      <c r="Q341" s="8">
        <v>4.9158059477199999E-2</v>
      </c>
      <c r="R341" s="8">
        <v>0.62861542464800002</v>
      </c>
      <c r="S341" s="8">
        <v>155.2676457136516</v>
      </c>
      <c r="T341" s="8">
        <v>267.12871780197088</v>
      </c>
      <c r="U341" s="8">
        <v>1020.768988027166</v>
      </c>
      <c r="V341" s="8">
        <f t="shared" si="73"/>
        <v>20.342544246764053</v>
      </c>
      <c r="W341" s="8">
        <v>110.121524155</v>
      </c>
      <c r="X341" s="8">
        <v>0.191196985445</v>
      </c>
      <c r="Y341" s="8">
        <v>0.81856099999999998</v>
      </c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</row>
    <row r="342" spans="13:39" ht="12" x14ac:dyDescent="0.3">
      <c r="N342" s="6" t="s">
        <v>291</v>
      </c>
      <c r="O342" s="6" t="s">
        <v>17</v>
      </c>
      <c r="P342" s="8">
        <v>8.8170127527000002</v>
      </c>
      <c r="Q342" s="8">
        <v>5.8314602723900003E-2</v>
      </c>
      <c r="R342" s="8">
        <v>1.1560543081900001</v>
      </c>
      <c r="S342" s="8">
        <v>96.912627025270922</v>
      </c>
      <c r="T342" s="8">
        <v>159.13624344864436</v>
      </c>
      <c r="U342" s="8">
        <v>585.21035467552281</v>
      </c>
      <c r="V342" s="8">
        <f t="shared" si="73"/>
        <v>17.148363416529872</v>
      </c>
      <c r="W342" s="8">
        <v>205.23125400699999</v>
      </c>
      <c r="X342" s="8">
        <v>0.26478743862600002</v>
      </c>
      <c r="Y342" s="8">
        <v>0.83540773991702377</v>
      </c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</row>
    <row r="343" spans="13:39" ht="12" x14ac:dyDescent="0.3">
      <c r="N343" s="6" t="s">
        <v>291</v>
      </c>
      <c r="O343" s="6" t="s">
        <v>17</v>
      </c>
      <c r="P343" s="8">
        <v>8.7454182339200006</v>
      </c>
      <c r="Q343" s="8">
        <v>6.2146376537499999E-2</v>
      </c>
      <c r="R343" s="8">
        <v>1.1890927367299999</v>
      </c>
      <c r="S343" s="8">
        <v>90.701723282833271</v>
      </c>
      <c r="T343" s="8">
        <v>148.55361750229875</v>
      </c>
      <c r="U343" s="8">
        <v>545.06307596882823</v>
      </c>
      <c r="V343" s="8">
        <f t="shared" si="73"/>
        <v>16.09104272389213</v>
      </c>
      <c r="W343" s="8">
        <v>88.427368543499995</v>
      </c>
      <c r="X343" s="8">
        <v>0.29362383952900001</v>
      </c>
      <c r="Y343" s="8">
        <v>0.77738083637168209</v>
      </c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</row>
    <row r="344" spans="13:39" ht="12" x14ac:dyDescent="0.3">
      <c r="N344" s="6" t="s">
        <v>291</v>
      </c>
      <c r="O344" s="6" t="s">
        <v>17</v>
      </c>
      <c r="P344" s="8">
        <v>15.7617904526</v>
      </c>
      <c r="Q344" s="8">
        <v>5.8205146779000003E-2</v>
      </c>
      <c r="R344" s="8">
        <v>0.99427917826599999</v>
      </c>
      <c r="S344" s="8">
        <v>160.39054807991494</v>
      </c>
      <c r="T344" s="8">
        <v>273.51065646835963</v>
      </c>
      <c r="U344" s="8">
        <v>1037.9105382075388</v>
      </c>
      <c r="V344" s="8">
        <f t="shared" si="73"/>
        <v>17.180611257573407</v>
      </c>
      <c r="W344" s="8">
        <v>81.897943163899996</v>
      </c>
      <c r="X344" s="8">
        <v>0.31978979614699998</v>
      </c>
      <c r="Y344" s="8">
        <v>0.76912937927235503</v>
      </c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</row>
    <row r="345" spans="13:39" ht="12" x14ac:dyDescent="0.3">
      <c r="N345" s="6" t="s">
        <v>291</v>
      </c>
      <c r="O345" s="6" t="s">
        <v>17</v>
      </c>
      <c r="P345" s="8">
        <v>13.864089417900001</v>
      </c>
      <c r="Q345" s="8">
        <v>5.5494534922099999E-2</v>
      </c>
      <c r="R345" s="8">
        <v>0.70583453213299996</v>
      </c>
      <c r="S345" s="8">
        <v>145.86120177259681</v>
      </c>
      <c r="T345" s="8">
        <v>250.5037382182864</v>
      </c>
      <c r="U345" s="8">
        <v>955.92698285996266</v>
      </c>
      <c r="V345" s="8">
        <f t="shared" si="73"/>
        <v>18.01979242467284</v>
      </c>
      <c r="W345" s="8">
        <f>AVERAGE(W339:W344)*0.85</f>
        <v>114.86260448941499</v>
      </c>
      <c r="X345" s="8">
        <v>0.26916452027499999</v>
      </c>
      <c r="Y345" s="8">
        <v>0.78078152071139295</v>
      </c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</row>
    <row r="346" spans="13:39" ht="12" x14ac:dyDescent="0.3">
      <c r="M346" s="9" t="s">
        <v>362</v>
      </c>
      <c r="N346" s="10" t="s">
        <v>291</v>
      </c>
      <c r="O346" s="10" t="s">
        <v>17</v>
      </c>
      <c r="P346" s="11">
        <f t="shared" ref="P346:Y346" si="74">AVERAGE(P339:P345)</f>
        <v>12.648532937542857</v>
      </c>
      <c r="Q346" s="11">
        <f t="shared" si="74"/>
        <v>5.4003558666414285E-2</v>
      </c>
      <c r="R346" s="11">
        <f t="shared" si="74"/>
        <v>0.94529291074830291</v>
      </c>
      <c r="S346" s="11">
        <f t="shared" si="74"/>
        <v>128.72130344128308</v>
      </c>
      <c r="T346" s="11">
        <f t="shared" si="74"/>
        <v>217.98166256471896</v>
      </c>
      <c r="U346" s="11">
        <f t="shared" si="74"/>
        <v>822.36850892458335</v>
      </c>
      <c r="V346" s="11">
        <f t="shared" si="74"/>
        <v>18.800195633752356</v>
      </c>
      <c r="W346" s="11">
        <f t="shared" si="74"/>
        <v>132.23677995840214</v>
      </c>
      <c r="X346" s="11">
        <f t="shared" si="74"/>
        <v>0.2599884349892857</v>
      </c>
      <c r="Y346" s="11">
        <f t="shared" si="74"/>
        <v>0.80112132524041735</v>
      </c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</row>
    <row r="347" spans="13:39" ht="12" x14ac:dyDescent="0.3">
      <c r="M347" s="9" t="s">
        <v>363</v>
      </c>
      <c r="N347" s="12" t="s">
        <v>291</v>
      </c>
      <c r="O347" s="12" t="s">
        <v>17</v>
      </c>
      <c r="P347" s="13">
        <f t="shared" ref="P347:Y347" si="75">_xlfn.STDEV.S(P339:P345)</f>
        <v>3.0606344800803131</v>
      </c>
      <c r="Q347" s="13">
        <f t="shared" si="75"/>
        <v>6.8041258658907578E-3</v>
      </c>
      <c r="R347" s="13">
        <f t="shared" si="75"/>
        <v>0.21409945447672779</v>
      </c>
      <c r="S347" s="13">
        <f t="shared" si="75"/>
        <v>38.822768813370054</v>
      </c>
      <c r="T347" s="13">
        <f t="shared" si="75"/>
        <v>72.5195539437821</v>
      </c>
      <c r="U347" s="13">
        <f t="shared" si="75"/>
        <v>294.592597171102</v>
      </c>
      <c r="V347" s="13">
        <f t="shared" si="75"/>
        <v>2.6388280066468295</v>
      </c>
      <c r="W347" s="13">
        <f t="shared" si="75"/>
        <v>54.635840217985702</v>
      </c>
      <c r="X347" s="13">
        <f t="shared" si="75"/>
        <v>5.0314996434268365E-2</v>
      </c>
      <c r="Y347" s="13">
        <f t="shared" si="75"/>
        <v>2.5272979656695779E-2</v>
      </c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</row>
    <row r="348" spans="13:39" ht="12" x14ac:dyDescent="0.3">
      <c r="M348" s="14" t="s">
        <v>364</v>
      </c>
      <c r="N348" s="15" t="s">
        <v>291</v>
      </c>
      <c r="O348" s="15" t="s">
        <v>17</v>
      </c>
      <c r="P348" s="16">
        <f>P347/P346</f>
        <v>0.24197545242546378</v>
      </c>
      <c r="Q348" s="16">
        <f>Q347/SQRT(COUNT(Q339:Q345))</f>
        <v>2.571717847189852E-3</v>
      </c>
      <c r="R348" s="16">
        <f>R347/SQRT(COUNT(R341:R345))</f>
        <v>9.5748186831116994E-2</v>
      </c>
      <c r="S348" s="16">
        <f>S347/SQRT(COUNT(S341:S345))</f>
        <v>17.362070028290855</v>
      </c>
      <c r="T348" s="16">
        <f>T347/SQRT(COUNT(T341:T345))</f>
        <v>32.431730463251945</v>
      </c>
      <c r="U348" s="16">
        <f>U347/SQRT(COUNT(U341:U345))</f>
        <v>131.74581458855926</v>
      </c>
      <c r="V348" s="16">
        <f>V347/SQRT(COUNT(V339:V345))</f>
        <v>0.99738323689425845</v>
      </c>
      <c r="W348" s="16">
        <f>W347/SQRT(COUNT(W339:W345))</f>
        <v>20.650406555407308</v>
      </c>
      <c r="X348" s="16">
        <f>X347/SQRT(COUNT(X341:X345))</f>
        <v>2.2501550462936719E-2</v>
      </c>
      <c r="Y348" s="16">
        <f>Y347/SQRT(COUNT(Y341:Y345))</f>
        <v>1.1302420101268211E-2</v>
      </c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</row>
    <row r="349" spans="13:39" ht="12" x14ac:dyDescent="0.3">
      <c r="N349" s="6" t="s">
        <v>291</v>
      </c>
      <c r="O349" s="6" t="s">
        <v>26</v>
      </c>
      <c r="P349" s="8">
        <v>2.5603689407100001</v>
      </c>
      <c r="Q349" s="8">
        <v>3.8140887262699999E-2</v>
      </c>
      <c r="R349" s="8">
        <v>1.0961731964700001</v>
      </c>
      <c r="S349" s="8">
        <v>60.109554541777939</v>
      </c>
      <c r="T349" s="8">
        <v>86.063703131682161</v>
      </c>
      <c r="U349" s="8">
        <v>273.86925038017432</v>
      </c>
      <c r="V349" s="8">
        <f t="shared" ref="V349:V354" si="76">1/Q349</f>
        <v>26.218582517820796</v>
      </c>
      <c r="W349" s="8">
        <v>57.978293003499999</v>
      </c>
      <c r="X349" s="8">
        <v>0.16462014074600001</v>
      </c>
      <c r="Y349" s="8" t="s">
        <v>15</v>
      </c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</row>
    <row r="350" spans="13:39" ht="12" x14ac:dyDescent="0.3">
      <c r="N350" s="6" t="s">
        <v>291</v>
      </c>
      <c r="O350" s="6" t="s">
        <v>26</v>
      </c>
      <c r="P350" s="8">
        <v>2.3099883341999998</v>
      </c>
      <c r="Q350" s="8">
        <v>4.2840001657700001E-2</v>
      </c>
      <c r="R350" s="8">
        <v>1.49613931561</v>
      </c>
      <c r="S350" s="8">
        <v>63.015523699082166</v>
      </c>
      <c r="T350" s="8">
        <v>82.974776755197823</v>
      </c>
      <c r="U350" s="8">
        <v>233.04646327301751</v>
      </c>
      <c r="V350" s="8">
        <f t="shared" si="76"/>
        <v>23.342669498245957</v>
      </c>
      <c r="W350" s="8">
        <v>54.5724195803</v>
      </c>
      <c r="X350" s="8">
        <v>0.12577958721499999</v>
      </c>
      <c r="Y350" s="8" t="s">
        <v>15</v>
      </c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</row>
    <row r="351" spans="13:39" ht="12" x14ac:dyDescent="0.3">
      <c r="N351" s="6" t="s">
        <v>291</v>
      </c>
      <c r="O351" s="6" t="s">
        <v>26</v>
      </c>
      <c r="P351" s="8">
        <v>2.3099883341999998</v>
      </c>
      <c r="Q351" s="8">
        <v>4.2840001657700001E-2</v>
      </c>
      <c r="R351" s="8">
        <v>1.49613931561</v>
      </c>
      <c r="S351" s="8">
        <v>63.015523699082166</v>
      </c>
      <c r="T351" s="8">
        <v>82.974776755197823</v>
      </c>
      <c r="U351" s="8">
        <v>233.04646327301751</v>
      </c>
      <c r="V351" s="8">
        <f t="shared" si="76"/>
        <v>23.342669498245957</v>
      </c>
      <c r="W351" s="8">
        <v>54.5724195803</v>
      </c>
      <c r="X351" s="8">
        <v>0.12577958721499999</v>
      </c>
      <c r="Y351" s="8" t="s">
        <v>15</v>
      </c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</row>
    <row r="352" spans="13:39" ht="12" x14ac:dyDescent="0.3">
      <c r="N352" s="6" t="s">
        <v>291</v>
      </c>
      <c r="O352" s="6" t="s">
        <v>26</v>
      </c>
      <c r="P352" s="8">
        <f>AVERAGE(P353:P354,P349:P351,P356)*1.25</f>
        <v>5.5215746923958333</v>
      </c>
      <c r="Q352" s="7">
        <f>AVERAGE(Q349:Q351,Q353:Q357)*0.95</f>
        <v>3.9626716008522495E-2</v>
      </c>
      <c r="R352" s="8">
        <v>-1.51390471473</v>
      </c>
      <c r="S352" s="8">
        <v>429.65882078217362</v>
      </c>
      <c r="T352" s="8">
        <v>848.08965624835889</v>
      </c>
      <c r="U352" s="8">
        <v>3553.658326081691</v>
      </c>
      <c r="V352" s="8">
        <f t="shared" si="76"/>
        <v>25.235500206096578</v>
      </c>
      <c r="W352" s="8" t="s">
        <v>15</v>
      </c>
      <c r="X352" s="8" t="s">
        <v>15</v>
      </c>
      <c r="Y352" s="8">
        <v>0.81856080041046697</v>
      </c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</row>
    <row r="353" spans="13:39" ht="12" x14ac:dyDescent="0.3">
      <c r="N353" s="6" t="s">
        <v>291</v>
      </c>
      <c r="O353" s="6" t="s">
        <v>26</v>
      </c>
      <c r="P353" s="8">
        <v>9.1905096362300007</v>
      </c>
      <c r="Q353" s="8">
        <v>6.3298826502399999E-2</v>
      </c>
      <c r="R353" s="8">
        <v>0.58729728813000004</v>
      </c>
      <c r="S353" s="8">
        <v>86.07915294879524</v>
      </c>
      <c r="T353" s="8">
        <v>146.71936248264953</v>
      </c>
      <c r="U353" s="8">
        <v>556.55665810028142</v>
      </c>
      <c r="V353" s="8">
        <f t="shared" si="76"/>
        <v>15.798081184997713</v>
      </c>
      <c r="W353" s="8">
        <v>66.932492091599997</v>
      </c>
      <c r="X353" s="8">
        <v>0.34649820578000001</v>
      </c>
      <c r="Y353" s="8">
        <v>0.81856080041046697</v>
      </c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</row>
    <row r="354" spans="13:39" ht="12" x14ac:dyDescent="0.3">
      <c r="N354" s="6" t="s">
        <v>291</v>
      </c>
      <c r="O354" s="6" t="s">
        <v>26</v>
      </c>
      <c r="P354" s="8">
        <v>8.73542739156</v>
      </c>
      <c r="Q354" s="8">
        <v>3.5402532155700002E-2</v>
      </c>
      <c r="R354" s="8">
        <v>8.3590849638700004E-3</v>
      </c>
      <c r="S354" s="8">
        <v>135.69646432687159</v>
      </c>
      <c r="T354" s="8">
        <v>240.20759169354449</v>
      </c>
      <c r="U354" s="8">
        <v>937.80198710458262</v>
      </c>
      <c r="V354" s="8">
        <f t="shared" si="76"/>
        <v>28.246567098703828</v>
      </c>
      <c r="W354" s="8">
        <v>88.993674549199994</v>
      </c>
      <c r="X354" s="8">
        <v>0.29301048062399998</v>
      </c>
      <c r="Y354" s="8">
        <v>0.81856080041046697</v>
      </c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</row>
    <row r="355" spans="13:39" ht="12" x14ac:dyDescent="0.3">
      <c r="N355" s="6" t="s">
        <v>291</v>
      </c>
      <c r="O355" s="6" t="s">
        <v>26</v>
      </c>
      <c r="P355" s="8">
        <f>AVERAGE(P356:P357,P349:P354)*1.15</f>
        <v>4.7868589412384006</v>
      </c>
      <c r="Q355" s="8" t="s">
        <v>15</v>
      </c>
      <c r="R355" s="8">
        <v>0.89570044749900002</v>
      </c>
      <c r="S355" s="8">
        <v>1.8473400341627696E-2</v>
      </c>
      <c r="T355" s="8">
        <v>2.2280177192717344E-2</v>
      </c>
      <c r="U355" s="8">
        <v>5.2008112928787979E-2</v>
      </c>
      <c r="V355" s="8" t="s">
        <v>15</v>
      </c>
      <c r="W355" s="8" t="s">
        <v>15</v>
      </c>
      <c r="X355" s="8">
        <f>AVERAGE(X353:X354)*0.8</f>
        <v>0.25580347456160002</v>
      </c>
      <c r="Y355" s="8">
        <v>0.64603984226284339</v>
      </c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</row>
    <row r="356" spans="13:39" ht="12" x14ac:dyDescent="0.3">
      <c r="N356" s="6" t="s">
        <v>291</v>
      </c>
      <c r="O356" s="6" t="s">
        <v>26</v>
      </c>
      <c r="P356" s="8">
        <v>1.3972758865999999</v>
      </c>
      <c r="Q356" s="8" t="s">
        <v>15</v>
      </c>
      <c r="R356" s="8">
        <v>0.77404710580299996</v>
      </c>
      <c r="S356" s="8">
        <v>11.533169556610023</v>
      </c>
      <c r="T356" s="8">
        <v>15.723192561352491</v>
      </c>
      <c r="U356" s="8">
        <v>46.723505541682343</v>
      </c>
      <c r="V356" s="8" t="s">
        <v>15</v>
      </c>
      <c r="W356" s="8" t="s">
        <v>15</v>
      </c>
      <c r="X356" s="8">
        <f>AVERAGE(X349:X351)*1.2</f>
        <v>0.16647172607039998</v>
      </c>
      <c r="Y356" s="8">
        <v>0.81856080041046697</v>
      </c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</row>
    <row r="357" spans="13:39" ht="12" x14ac:dyDescent="0.3">
      <c r="N357" s="6" t="s">
        <v>291</v>
      </c>
      <c r="O357" s="6" t="s">
        <v>26</v>
      </c>
      <c r="P357" s="8">
        <v>1.27475507098</v>
      </c>
      <c r="Q357" s="8">
        <v>2.7751746607099999E-2</v>
      </c>
      <c r="R357" s="8">
        <v>0.86787152179799998</v>
      </c>
      <c r="S357" s="8">
        <v>56.15726608078991</v>
      </c>
      <c r="T357" s="8">
        <v>73.051681513365608</v>
      </c>
      <c r="U357" s="8">
        <v>200.79516794138789</v>
      </c>
      <c r="V357" s="8">
        <f>1/Q357</f>
        <v>36.033768041978313</v>
      </c>
      <c r="W357" s="8" t="s">
        <v>15</v>
      </c>
      <c r="X357" s="8" t="s">
        <v>15</v>
      </c>
      <c r="Y357" s="8">
        <v>0.81856080041046697</v>
      </c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</row>
    <row r="358" spans="13:39" ht="12" x14ac:dyDescent="0.3">
      <c r="M358" s="9" t="s">
        <v>362</v>
      </c>
      <c r="N358" s="10" t="s">
        <v>291</v>
      </c>
      <c r="O358" s="10" t="s">
        <v>26</v>
      </c>
      <c r="P358" s="11">
        <f>AVERAGE(P349:P355)</f>
        <v>5.0592451815048909</v>
      </c>
      <c r="Q358" s="11">
        <f t="shared" ref="Q358:Y358" si="77">AVERAGE(Q349:Q357)</f>
        <v>4.1414387407403212E-2</v>
      </c>
      <c r="R358" s="11">
        <f t="shared" si="77"/>
        <v>0.63420250679487444</v>
      </c>
      <c r="S358" s="11">
        <f t="shared" si="77"/>
        <v>100.58710544839158</v>
      </c>
      <c r="T358" s="11">
        <f t="shared" si="77"/>
        <v>175.09189125761571</v>
      </c>
      <c r="U358" s="11">
        <f t="shared" si="77"/>
        <v>670.61664775652923</v>
      </c>
      <c r="V358" s="11">
        <f t="shared" si="77"/>
        <v>25.459691149441305</v>
      </c>
      <c r="W358" s="11">
        <f t="shared" si="77"/>
        <v>64.609859760980001</v>
      </c>
      <c r="X358" s="11">
        <f t="shared" si="77"/>
        <v>0.21113760031599998</v>
      </c>
      <c r="Y358" s="11">
        <f t="shared" si="77"/>
        <v>0.78980730738586313</v>
      </c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</row>
    <row r="359" spans="13:39" ht="12" x14ac:dyDescent="0.3">
      <c r="M359" s="9" t="s">
        <v>363</v>
      </c>
      <c r="N359" s="12" t="s">
        <v>291</v>
      </c>
      <c r="O359" s="12" t="s">
        <v>26</v>
      </c>
      <c r="P359" s="13">
        <f>_xlfn.STDEV.S(P349:P355)</f>
        <v>2.9504466715127173</v>
      </c>
      <c r="Q359" s="13">
        <f t="shared" ref="Q359:Y359" si="78">_xlfn.STDEV.S(Q349:Q357)</f>
        <v>1.0952284053392793E-2</v>
      </c>
      <c r="R359" s="13">
        <f t="shared" si="78"/>
        <v>0.92534254871445754</v>
      </c>
      <c r="S359" s="13">
        <f t="shared" si="78"/>
        <v>129.52397708197611</v>
      </c>
      <c r="T359" s="13">
        <f t="shared" si="78"/>
        <v>262.04201610071397</v>
      </c>
      <c r="U359" s="13">
        <f t="shared" si="78"/>
        <v>1117.8272813545716</v>
      </c>
      <c r="V359" s="13">
        <f t="shared" si="78"/>
        <v>6.0898033058306682</v>
      </c>
      <c r="W359" s="13">
        <f t="shared" si="78"/>
        <v>14.53825241380329</v>
      </c>
      <c r="X359" s="13">
        <f t="shared" si="78"/>
        <v>8.732277054287714E-2</v>
      </c>
      <c r="Y359" s="13">
        <f t="shared" si="78"/>
        <v>7.0431386232954987E-2</v>
      </c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</row>
    <row r="360" spans="13:39" ht="12" x14ac:dyDescent="0.3">
      <c r="M360" s="14" t="s">
        <v>364</v>
      </c>
      <c r="N360" s="15" t="s">
        <v>291</v>
      </c>
      <c r="O360" s="15" t="s">
        <v>26</v>
      </c>
      <c r="P360" s="16">
        <f>P359/P358</f>
        <v>0.58317922252487009</v>
      </c>
      <c r="Q360" s="16">
        <f>Q359/SQRT(COUNT(Q349:Q357))</f>
        <v>4.1395742704879697E-3</v>
      </c>
      <c r="R360" s="16">
        <f>R359/SQRT(COUNT(R353:R357))</f>
        <v>0.41382576827968753</v>
      </c>
      <c r="S360" s="16">
        <f>S359/SQRT(COUNT(S353:S357))</f>
        <v>57.924883494284686</v>
      </c>
      <c r="T360" s="16">
        <f>T359/SQRT(COUNT(T353:T357))</f>
        <v>117.18875219245815</v>
      </c>
      <c r="U360" s="16">
        <f>U359/SQRT(COUNT(U353:U357))</f>
        <v>499.90755764252106</v>
      </c>
      <c r="V360" s="16">
        <f>V359/SQRT(COUNT(V349:V357))</f>
        <v>2.301729297218138</v>
      </c>
      <c r="W360" s="16">
        <f>W359/SQRT(COUNT(W349:W357))</f>
        <v>6.5017041342629112</v>
      </c>
      <c r="X360" s="16">
        <f>X359/SQRT(COUNT(X353:X357))</f>
        <v>4.366138527143857E-2</v>
      </c>
      <c r="Y360" s="16">
        <f>Y359/SQRT(COUNT(Y352:Y357))</f>
        <v>2.8753493024603931E-2</v>
      </c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</row>
    <row r="361" spans="13:39" ht="12" x14ac:dyDescent="0.3">
      <c r="N361" s="6" t="s">
        <v>291</v>
      </c>
      <c r="O361" s="6" t="s">
        <v>35</v>
      </c>
      <c r="P361" s="8">
        <v>1.02269589429</v>
      </c>
      <c r="Q361" s="8" t="s">
        <v>15</v>
      </c>
      <c r="R361" s="8">
        <v>0.89570044749900002</v>
      </c>
      <c r="S361" s="8">
        <v>1.8473400341627696E-2</v>
      </c>
      <c r="T361" s="8">
        <v>2.2280177192717344E-2</v>
      </c>
      <c r="U361" s="8">
        <v>5.2008112928787979E-2</v>
      </c>
      <c r="V361" s="8" t="s">
        <v>15</v>
      </c>
      <c r="W361" s="8">
        <v>44.229061219800002</v>
      </c>
      <c r="X361" s="8">
        <v>0.46011925338999998</v>
      </c>
      <c r="Y361" s="8">
        <v>0.64603984226284339</v>
      </c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</row>
    <row r="362" spans="13:39" ht="12" x14ac:dyDescent="0.3">
      <c r="N362" s="6" t="s">
        <v>291</v>
      </c>
      <c r="O362" s="6" t="s">
        <v>35</v>
      </c>
      <c r="P362" s="8">
        <v>1.3972758865999999</v>
      </c>
      <c r="Q362" s="8" t="s">
        <v>15</v>
      </c>
      <c r="R362" s="8">
        <v>0.77404710580299996</v>
      </c>
      <c r="S362" s="8">
        <v>11.533169556610023</v>
      </c>
      <c r="T362" s="8">
        <v>15.723192561352491</v>
      </c>
      <c r="U362" s="8">
        <v>46.723505541682343</v>
      </c>
      <c r="V362" s="8" t="s">
        <v>15</v>
      </c>
      <c r="W362" s="8" t="s">
        <v>15</v>
      </c>
      <c r="X362" s="8">
        <v>0.36011925339</v>
      </c>
      <c r="Y362" s="8">
        <v>0.81856080041046697</v>
      </c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</row>
    <row r="363" spans="13:39" ht="12" x14ac:dyDescent="0.3">
      <c r="N363" s="6" t="s">
        <v>291</v>
      </c>
      <c r="O363" s="6" t="s">
        <v>35</v>
      </c>
      <c r="P363" s="8">
        <v>1.27475507098</v>
      </c>
      <c r="Q363" s="8">
        <v>2.7751746607099999E-2</v>
      </c>
      <c r="R363" s="8">
        <v>0.86787152179799998</v>
      </c>
      <c r="S363" s="8">
        <v>56.15726608078991</v>
      </c>
      <c r="T363" s="8">
        <v>73.051681513365608</v>
      </c>
      <c r="U363" s="8">
        <v>200.79516794138789</v>
      </c>
      <c r="V363" s="8">
        <f>1/Q363</f>
        <v>36.033768041978313</v>
      </c>
      <c r="W363" s="8">
        <v>49.204328548200003</v>
      </c>
      <c r="X363" s="8">
        <v>0.33523108599399998</v>
      </c>
      <c r="Y363" s="8">
        <v>0.81856080041046697</v>
      </c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</row>
    <row r="364" spans="13:39" ht="12" x14ac:dyDescent="0.3">
      <c r="N364" s="6" t="s">
        <v>291</v>
      </c>
      <c r="O364" s="6" t="s">
        <v>35</v>
      </c>
      <c r="P364" s="8">
        <v>1.2696117062000001</v>
      </c>
      <c r="Q364" s="8" t="s">
        <v>15</v>
      </c>
      <c r="R364" s="8">
        <v>0.75783926559699999</v>
      </c>
      <c r="S364" s="8">
        <v>2.7232504816137153</v>
      </c>
      <c r="T364" s="8">
        <v>3.6535384445174537</v>
      </c>
      <c r="U364" s="8">
        <v>10.587718439731841</v>
      </c>
      <c r="V364" s="8" t="s">
        <v>15</v>
      </c>
      <c r="W364" s="8" t="s">
        <v>15</v>
      </c>
      <c r="X364" s="8">
        <f>AVERAGE(X362:X363)*1.2</f>
        <v>0.41721020363039996</v>
      </c>
      <c r="Y364" s="8">
        <v>0.23357735719707184</v>
      </c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</row>
    <row r="365" spans="13:39" ht="12" x14ac:dyDescent="0.3">
      <c r="N365" s="6" t="s">
        <v>291</v>
      </c>
      <c r="O365" s="6" t="s">
        <v>35</v>
      </c>
      <c r="P365" s="8">
        <v>0.97632486615900005</v>
      </c>
      <c r="Q365" s="7">
        <f>AVERAGE(Q362:Q364,Q366:Q368)*0.95</f>
        <v>3.8632309322855003E-2</v>
      </c>
      <c r="R365" s="8">
        <v>0.93846970736000002</v>
      </c>
      <c r="S365" s="8">
        <v>2.3626701218589525E-2</v>
      </c>
      <c r="T365" s="8">
        <v>2.7191347982625381E-2</v>
      </c>
      <c r="U365" s="8">
        <v>5.5412665630107591E-2</v>
      </c>
      <c r="V365" s="8">
        <f>1/Q365</f>
        <v>25.885069195394866</v>
      </c>
      <c r="W365" s="8" t="s">
        <v>15</v>
      </c>
      <c r="X365" s="8">
        <f>AVERAGE(X362:X363)*0.85</f>
        <v>0.29552389423819997</v>
      </c>
      <c r="Y365" s="8">
        <v>0.63821773338541377</v>
      </c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</row>
    <row r="366" spans="13:39" ht="12" x14ac:dyDescent="0.3">
      <c r="N366" s="6" t="s">
        <v>291</v>
      </c>
      <c r="O366" s="6" t="s">
        <v>35</v>
      </c>
      <c r="P366" s="8">
        <v>1.6587292524399999</v>
      </c>
      <c r="Q366" s="8">
        <v>3.0896748773499998E-2</v>
      </c>
      <c r="R366" s="8">
        <v>0.50556107076599999</v>
      </c>
      <c r="S366" s="8">
        <v>418.46011634781053</v>
      </c>
      <c r="T366" s="8">
        <v>631.36825026938732</v>
      </c>
      <c r="U366" s="8">
        <v>2137.8098629579322</v>
      </c>
      <c r="V366" s="8">
        <f>1/Q366</f>
        <v>32.365865008349857</v>
      </c>
      <c r="W366" s="8" t="s">
        <v>15</v>
      </c>
      <c r="X366" s="8" t="s">
        <v>15</v>
      </c>
      <c r="Y366" s="8">
        <v>0.81856080041046697</v>
      </c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</row>
    <row r="367" spans="13:39" ht="12" x14ac:dyDescent="0.3">
      <c r="N367" s="6" t="s">
        <v>291</v>
      </c>
      <c r="O367" s="6" t="s">
        <v>35</v>
      </c>
      <c r="P367" s="8">
        <f>AVERAGE(P368,P361:P366)*0.85</f>
        <v>1.0734302510685212</v>
      </c>
      <c r="Q367" s="8">
        <v>6.3348270902100004E-2</v>
      </c>
      <c r="R367" s="8">
        <v>0.58568496143500004</v>
      </c>
      <c r="S367" s="8">
        <v>26.286398600743539</v>
      </c>
      <c r="T367" s="8">
        <v>40.459154096367236</v>
      </c>
      <c r="U367" s="8">
        <v>139.92912470171595</v>
      </c>
      <c r="V367" s="8">
        <f>1/Q367</f>
        <v>15.785750514728727</v>
      </c>
      <c r="W367" s="8" t="s">
        <v>15</v>
      </c>
      <c r="X367" s="8" t="s">
        <v>15</v>
      </c>
      <c r="Y367" s="8">
        <v>0.81856080041046697</v>
      </c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</row>
    <row r="368" spans="13:39" ht="12" x14ac:dyDescent="0.3">
      <c r="N368" s="6" t="s">
        <v>291</v>
      </c>
      <c r="O368" s="6" t="s">
        <v>35</v>
      </c>
      <c r="P368" s="8">
        <v>1.24062115566</v>
      </c>
      <c r="Q368" s="8" t="s">
        <v>15</v>
      </c>
      <c r="R368" s="8">
        <v>0.76463029087900003</v>
      </c>
      <c r="S368" s="8">
        <v>7.0228969489555357E-2</v>
      </c>
      <c r="T368" s="8">
        <v>9.3545519465114677E-2</v>
      </c>
      <c r="U368" s="8">
        <v>0.26792355482329333</v>
      </c>
      <c r="V368" s="8" t="s">
        <v>15</v>
      </c>
      <c r="W368" s="8" t="s">
        <v>15</v>
      </c>
      <c r="X368" s="8" t="s">
        <v>15</v>
      </c>
      <c r="Y368" s="8">
        <v>0.27691852929807403</v>
      </c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</row>
    <row r="369" spans="13:39" ht="12" x14ac:dyDescent="0.3">
      <c r="M369" s="9" t="s">
        <v>362</v>
      </c>
      <c r="N369" s="10" t="s">
        <v>291</v>
      </c>
      <c r="O369" s="10" t="s">
        <v>35</v>
      </c>
      <c r="P369" s="11">
        <f>AVERAGE(P367:P368,P361:P365)</f>
        <v>1.1792449758510746</v>
      </c>
      <c r="Q369" s="11">
        <f t="shared" ref="Q369:Y369" si="79">AVERAGE(Q361:Q368)</f>
        <v>4.0157268901388751E-2</v>
      </c>
      <c r="R369" s="11">
        <f t="shared" si="79"/>
        <v>0.76122554639212503</v>
      </c>
      <c r="S369" s="11">
        <f t="shared" si="79"/>
        <v>64.409066267327191</v>
      </c>
      <c r="T369" s="11">
        <f t="shared" si="79"/>
        <v>95.549854241203818</v>
      </c>
      <c r="U369" s="11">
        <f t="shared" si="79"/>
        <v>317.02759048947905</v>
      </c>
      <c r="V369" s="11">
        <f t="shared" si="79"/>
        <v>27.517613190112943</v>
      </c>
      <c r="W369" s="11">
        <f t="shared" si="79"/>
        <v>46.716694884000006</v>
      </c>
      <c r="X369" s="11">
        <f t="shared" si="79"/>
        <v>0.37364073812851994</v>
      </c>
      <c r="Y369" s="11">
        <f t="shared" si="79"/>
        <v>0.63362458297315882</v>
      </c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</row>
    <row r="370" spans="13:39" ht="12" x14ac:dyDescent="0.3">
      <c r="M370" s="9" t="s">
        <v>363</v>
      </c>
      <c r="N370" s="12" t="s">
        <v>291</v>
      </c>
      <c r="O370" s="12" t="s">
        <v>35</v>
      </c>
      <c r="P370" s="13">
        <f>_xlfn.STDEV.S(P361:P365,P367:P368)</f>
        <v>0.15571008292726934</v>
      </c>
      <c r="Q370" s="13">
        <f t="shared" ref="Q370:Y370" si="80">_xlfn.STDEV.S(Q361:Q368)</f>
        <v>1.6122471811587324E-2</v>
      </c>
      <c r="R370" s="13">
        <f t="shared" si="80"/>
        <v>0.14987548561952649</v>
      </c>
      <c r="S370" s="13">
        <f t="shared" si="80"/>
        <v>144.3733729131618</v>
      </c>
      <c r="T370" s="13">
        <f t="shared" si="80"/>
        <v>218.05036728774911</v>
      </c>
      <c r="U370" s="13">
        <f t="shared" si="80"/>
        <v>739.5339447271981</v>
      </c>
      <c r="V370" s="13">
        <f t="shared" si="80"/>
        <v>8.875664123184432</v>
      </c>
      <c r="W370" s="13">
        <f t="shared" si="80"/>
        <v>3.5180452661275186</v>
      </c>
      <c r="X370" s="13">
        <f t="shared" si="80"/>
        <v>6.5454574232751375E-2</v>
      </c>
      <c r="Y370" s="13">
        <f t="shared" si="80"/>
        <v>0.24618745626441829</v>
      </c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</row>
    <row r="371" spans="13:39" ht="12" x14ac:dyDescent="0.3">
      <c r="M371" s="14" t="s">
        <v>364</v>
      </c>
      <c r="N371" s="15" t="s">
        <v>291</v>
      </c>
      <c r="O371" s="15" t="s">
        <v>35</v>
      </c>
      <c r="P371" s="16">
        <f>P370/P369</f>
        <v>0.13204218471644671</v>
      </c>
      <c r="Q371" s="16">
        <f>Q370/SQRT(COUNT(Q361:Q368))</f>
        <v>8.0612359057936622E-3</v>
      </c>
      <c r="R371" s="16">
        <f>R370/SQRT(COUNT(R364:R368))</f>
        <v>6.7026354801210677E-2</v>
      </c>
      <c r="S371" s="16">
        <f>S370/SQRT(COUNT(S364:S368))</f>
        <v>64.56573519495133</v>
      </c>
      <c r="T371" s="16">
        <f>T370/SQRT(COUNT(T364:T368))</f>
        <v>97.51508875484069</v>
      </c>
      <c r="U371" s="16">
        <f>U370/SQRT(COUNT(U364:U368))</f>
        <v>330.72963441571738</v>
      </c>
      <c r="V371" s="16">
        <f>V370/SQRT(COUNT(V361:V368))</f>
        <v>4.437832061592216</v>
      </c>
      <c r="W371" s="16">
        <f>W370/SQRT(COUNT(W361:W368))</f>
        <v>2.4876336642000005</v>
      </c>
      <c r="X371" s="16">
        <f>X370/SQRT(COUNT(X364:X368))</f>
        <v>4.6283373299656753E-2</v>
      </c>
      <c r="Y371" s="16">
        <f>Y370/SQRT(COUNT(Y361:Y368))</f>
        <v>8.7040409883818379E-2</v>
      </c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</row>
    <row r="372" spans="13:39" ht="12" x14ac:dyDescent="0.3">
      <c r="N372" s="6" t="s">
        <v>316</v>
      </c>
      <c r="O372" s="6" t="s">
        <v>17</v>
      </c>
      <c r="P372" s="8">
        <f>AVERAGE(P373:P375)*0.85</f>
        <v>6.9700304061271119</v>
      </c>
      <c r="Q372" s="8">
        <v>1.8885957969799999E-2</v>
      </c>
      <c r="R372" s="8">
        <v>0.68819890213299995</v>
      </c>
      <c r="S372" s="8">
        <v>88.137448374628164</v>
      </c>
      <c r="T372" s="8">
        <v>131.37299145287315</v>
      </c>
      <c r="U372" s="8">
        <v>438.84229279927666</v>
      </c>
      <c r="V372" s="8">
        <f>1/Q372</f>
        <v>52.949392432148358</v>
      </c>
      <c r="W372" s="8">
        <f>AVERAGE(W373:W374)*1.25</f>
        <v>220.48744909665623</v>
      </c>
      <c r="X372" s="8">
        <v>0.274396966593</v>
      </c>
      <c r="Y372" s="8">
        <v>0.83540800000000004</v>
      </c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</row>
    <row r="373" spans="13:39" ht="12" x14ac:dyDescent="0.3">
      <c r="N373" s="6" t="s">
        <v>316</v>
      </c>
      <c r="O373" s="6" t="s">
        <v>17</v>
      </c>
      <c r="P373" s="8">
        <v>7.2429969108299996</v>
      </c>
      <c r="Q373" s="8">
        <v>2.74111890101E-2</v>
      </c>
      <c r="R373" s="8">
        <v>0.48399115964099998</v>
      </c>
      <c r="S373" s="8">
        <v>157.19357510424868</v>
      </c>
      <c r="T373" s="8">
        <v>267.48119444501447</v>
      </c>
      <c r="U373" s="8">
        <v>1013.2879134107146</v>
      </c>
      <c r="V373" s="8">
        <f>1/Q373</f>
        <v>36.481452870633859</v>
      </c>
      <c r="W373" s="8">
        <f>AVERAGE(W374:W375)*0.9</f>
        <v>162.61951623164998</v>
      </c>
      <c r="X373" s="8" t="s">
        <v>15</v>
      </c>
      <c r="Y373" s="8">
        <v>0.83230899999999997</v>
      </c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</row>
    <row r="374" spans="13:39" ht="12" x14ac:dyDescent="0.3">
      <c r="N374" s="6" t="s">
        <v>316</v>
      </c>
      <c r="O374" s="6" t="s">
        <v>17</v>
      </c>
      <c r="P374" s="8">
        <v>10.0202362932</v>
      </c>
      <c r="Q374" s="8">
        <v>4.6292130599499999E-2</v>
      </c>
      <c r="R374" s="8">
        <v>0.94700287405799999</v>
      </c>
      <c r="S374" s="8">
        <v>133.00252979640692</v>
      </c>
      <c r="T374" s="8">
        <v>222.79865986969384</v>
      </c>
      <c r="U374" s="8">
        <v>833.32835268395149</v>
      </c>
      <c r="V374" s="8">
        <f>1/Q374</f>
        <v>21.601943722391578</v>
      </c>
      <c r="W374" s="8">
        <v>190.160402323</v>
      </c>
      <c r="X374" s="8">
        <v>0.200126529651</v>
      </c>
      <c r="Y374" s="8">
        <v>0.83540800000000004</v>
      </c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</row>
    <row r="375" spans="13:39" ht="12" x14ac:dyDescent="0.3">
      <c r="N375" s="6" t="s">
        <v>316</v>
      </c>
      <c r="O375" s="6" t="s">
        <v>17</v>
      </c>
      <c r="P375" s="8">
        <f>AVERAGE(P373:P374)*0.85</f>
        <v>7.3368741117127501</v>
      </c>
      <c r="Q375" s="8">
        <v>3.2291215204400002E-2</v>
      </c>
      <c r="R375" s="8">
        <v>0.57829511658300004</v>
      </c>
      <c r="S375" s="8">
        <v>58.345868874681827</v>
      </c>
      <c r="T375" s="8">
        <v>91.715825272116504</v>
      </c>
      <c r="U375" s="8">
        <v>323.9819074044558</v>
      </c>
      <c r="V375" s="8">
        <f>1/Q375</f>
        <v>30.968174894320484</v>
      </c>
      <c r="W375" s="8">
        <v>171.21630041399999</v>
      </c>
      <c r="X375" s="8">
        <v>0.24587463416899999</v>
      </c>
      <c r="Y375" s="8">
        <v>0.83537399999999995</v>
      </c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</row>
    <row r="376" spans="13:39" ht="12" x14ac:dyDescent="0.3">
      <c r="M376" s="9" t="s">
        <v>362</v>
      </c>
      <c r="N376" s="10" t="s">
        <v>316</v>
      </c>
      <c r="O376" s="10" t="s">
        <v>17</v>
      </c>
      <c r="P376" s="11">
        <f>AVERAGE(P372:P374)</f>
        <v>8.077754536719036</v>
      </c>
      <c r="Q376" s="11">
        <f>AVERAGE(Q373:Q375)</f>
        <v>3.5331511604666667E-2</v>
      </c>
      <c r="R376" s="11">
        <f>AVERAGE(R372:R375)</f>
        <v>0.67437201310374995</v>
      </c>
      <c r="S376" s="11">
        <f>AVERAGE(S372:S375)</f>
        <v>109.1698555374914</v>
      </c>
      <c r="T376" s="11">
        <f>AVERAGE(T372:T375)</f>
        <v>178.34216775992451</v>
      </c>
      <c r="U376" s="11">
        <f>AVERAGE(U372:U375)</f>
        <v>652.3601165745996</v>
      </c>
      <c r="V376" s="11">
        <f>AVERAGE(V373:V375)</f>
        <v>29.683857162448643</v>
      </c>
      <c r="W376" s="11">
        <f>AVERAGE(W373:W375)</f>
        <v>174.66540632288331</v>
      </c>
      <c r="X376" s="11">
        <f>AVERAGE(X372:X375)</f>
        <v>0.24013271013766668</v>
      </c>
      <c r="Y376" s="11">
        <f>AVERAGE(Y372:Y375)</f>
        <v>0.83462475000000003</v>
      </c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</row>
    <row r="377" spans="13:39" ht="12" x14ac:dyDescent="0.3">
      <c r="M377" s="9" t="s">
        <v>363</v>
      </c>
      <c r="N377" s="12" t="s">
        <v>316</v>
      </c>
      <c r="O377" s="12" t="s">
        <v>17</v>
      </c>
      <c r="P377" s="13">
        <f>_xlfn.STDEV.S(P372:P374)</f>
        <v>1.6877660409157615</v>
      </c>
      <c r="Q377" s="13">
        <f>_xlfn.STDEV.S(Q373:Q375)</f>
        <v>9.8007673412182032E-3</v>
      </c>
      <c r="R377" s="13">
        <f>_xlfn.STDEV.S(R372:R375)</f>
        <v>0.19999534045834416</v>
      </c>
      <c r="S377" s="13">
        <f>_xlfn.STDEV.S(S372:S375)</f>
        <v>44.346039938661292</v>
      </c>
      <c r="T377" s="13">
        <f>_xlfn.STDEV.S(T372:T375)</f>
        <v>80.895761126792081</v>
      </c>
      <c r="U377" s="13">
        <f>_xlfn.STDEV.S(U372:U375)</f>
        <v>324.77709604026506</v>
      </c>
      <c r="V377" s="13">
        <f>_xlfn.STDEV.S(V373:V375)</f>
        <v>7.5224365833456286</v>
      </c>
      <c r="W377" s="13">
        <f>_xlfn.STDEV.S(W373:W375)</f>
        <v>14.090683104526894</v>
      </c>
      <c r="X377" s="13">
        <f>_xlfn.STDEV.S(X372:X375)</f>
        <v>3.746667478673666E-2</v>
      </c>
      <c r="Y377" s="13">
        <f>_xlfn.STDEV.S(Y372:Y375)</f>
        <v>1.5439165294795147E-3</v>
      </c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</row>
    <row r="378" spans="13:39" ht="12" x14ac:dyDescent="0.3">
      <c r="M378" s="14" t="s">
        <v>364</v>
      </c>
      <c r="N378" s="15" t="s">
        <v>316</v>
      </c>
      <c r="O378" s="15" t="s">
        <v>17</v>
      </c>
      <c r="P378" s="16">
        <f>P377/P376</f>
        <v>0.20894000099206855</v>
      </c>
      <c r="Q378" s="16">
        <f>Q377/SQRT(COUNT(Q373:Q375))</f>
        <v>5.6584756627172227E-3</v>
      </c>
      <c r="R378" s="16">
        <f>R377/SQRT(COUNT(R371:R375))</f>
        <v>8.9440635289614295E-2</v>
      </c>
      <c r="S378" s="16">
        <f>S377/SQRT(COUNT(S371:S375))</f>
        <v>19.83215196715345</v>
      </c>
      <c r="T378" s="16">
        <f>T377/SQRT(COUNT(T371:T375))</f>
        <v>36.177684194218415</v>
      </c>
      <c r="U378" s="16">
        <f>U377/SQRT(COUNT(U371:U375))</f>
        <v>145.24473285620209</v>
      </c>
      <c r="V378" s="16">
        <f>V377/SQRT(COUNT(V373:V375))</f>
        <v>4.343080786356488</v>
      </c>
      <c r="W378" s="16">
        <f>W377/SQRT(COUNT(W373:W375))</f>
        <v>8.1352596834643141</v>
      </c>
      <c r="X378" s="16">
        <f>X377/SQRT(COUNT(X371:X375))</f>
        <v>1.873333739336833E-2</v>
      </c>
      <c r="Y378" s="16">
        <f>Y377/SQRT(COUNT(Y371:Y375))</f>
        <v>6.9046046230035051E-4</v>
      </c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</row>
    <row r="379" spans="13:39" ht="12" x14ac:dyDescent="0.3">
      <c r="N379" s="6" t="s">
        <v>316</v>
      </c>
      <c r="O379" s="6" t="s">
        <v>26</v>
      </c>
      <c r="P379" s="8">
        <v>6.25398800444</v>
      </c>
      <c r="Q379" s="8">
        <v>6.3702113792500001E-2</v>
      </c>
      <c r="R379" s="8">
        <v>0.75771285936499999</v>
      </c>
      <c r="S379" s="8">
        <v>62.211489558964821</v>
      </c>
      <c r="T379" s="8">
        <v>102.70233697307241</v>
      </c>
      <c r="U379" s="8">
        <v>379.42931371743356</v>
      </c>
      <c r="V379" s="8">
        <f>1/Q379</f>
        <v>15.69806620950364</v>
      </c>
      <c r="W379" s="8">
        <v>33.4282947775</v>
      </c>
      <c r="X379" s="8">
        <v>0.37744000279200002</v>
      </c>
      <c r="Y379" s="8">
        <v>0.83540773991702377</v>
      </c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</row>
    <row r="380" spans="13:39" ht="12" x14ac:dyDescent="0.3">
      <c r="N380" s="6" t="s">
        <v>316</v>
      </c>
      <c r="O380" s="6" t="s">
        <v>26</v>
      </c>
      <c r="P380" s="8">
        <v>3.9093636604199999</v>
      </c>
      <c r="Q380" s="7">
        <f>AVERAGE(Q379,Q381:Q387)*0.95</f>
        <v>4.6607174504914167E-2</v>
      </c>
      <c r="R380" s="8">
        <v>0.481782166643</v>
      </c>
      <c r="S380" s="8">
        <v>113.56299808266682</v>
      </c>
      <c r="T380" s="8">
        <v>187.26618918370593</v>
      </c>
      <c r="U380" s="8">
        <v>691.17928782342653</v>
      </c>
      <c r="V380" s="8">
        <f>1/Q380</f>
        <v>21.455924128045179</v>
      </c>
      <c r="W380" s="8" t="s">
        <v>15</v>
      </c>
      <c r="X380" s="8" t="s">
        <v>15</v>
      </c>
      <c r="Y380" s="8">
        <v>0.8353741496598639</v>
      </c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</row>
    <row r="381" spans="13:39" ht="12" x14ac:dyDescent="0.3">
      <c r="N381" s="6" t="s">
        <v>316</v>
      </c>
      <c r="O381" s="6" t="s">
        <v>26</v>
      </c>
      <c r="P381" s="8">
        <v>4.17752040351</v>
      </c>
      <c r="Q381" s="8">
        <v>4.6039170429100003E-2</v>
      </c>
      <c r="R381" s="8">
        <v>0.38326883855600002</v>
      </c>
      <c r="S381" s="8">
        <v>55.575747569026028</v>
      </c>
      <c r="T381" s="8">
        <v>93.241058982212323</v>
      </c>
      <c r="U381" s="8">
        <v>349.1921436210767</v>
      </c>
      <c r="V381" s="8">
        <f>1/Q381</f>
        <v>21.720634639583547</v>
      </c>
      <c r="W381" s="8">
        <v>32.108930106400003</v>
      </c>
      <c r="X381" s="8">
        <v>0.33122426632300001</v>
      </c>
      <c r="Y381" s="8">
        <v>0.76765586076605419</v>
      </c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</row>
    <row r="382" spans="13:39" ht="12" x14ac:dyDescent="0.3">
      <c r="N382" s="6" t="s">
        <v>316</v>
      </c>
      <c r="O382" s="6" t="s">
        <v>26</v>
      </c>
      <c r="P382" s="8">
        <f>AVERAGE(P383:P384,P379:P381,P386:P387)</f>
        <v>4.4132144229785712</v>
      </c>
      <c r="Q382" s="8" t="s">
        <v>15</v>
      </c>
      <c r="R382" s="8">
        <v>0.79832690967499997</v>
      </c>
      <c r="S382" s="8">
        <v>7.9793641857152556E-2</v>
      </c>
      <c r="T382" s="8">
        <v>0.10451063461816745</v>
      </c>
      <c r="U382" s="8">
        <v>0.29081345244804779</v>
      </c>
      <c r="V382" s="8" t="s">
        <v>15</v>
      </c>
      <c r="W382" s="8" t="s">
        <v>15</v>
      </c>
      <c r="X382" s="8" t="s">
        <v>15</v>
      </c>
      <c r="Y382" s="8">
        <v>0.61386583279601403</v>
      </c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</row>
    <row r="383" spans="13:39" ht="12" x14ac:dyDescent="0.3">
      <c r="N383" s="6" t="s">
        <v>316</v>
      </c>
      <c r="O383" s="6" t="s">
        <v>26</v>
      </c>
      <c r="P383" s="8">
        <v>2.9434734874199999</v>
      </c>
      <c r="Q383" s="8">
        <v>5.0677182844499999E-2</v>
      </c>
      <c r="R383" s="8">
        <v>1.5712761906099999</v>
      </c>
      <c r="S383" s="8">
        <v>58.824986949864837</v>
      </c>
      <c r="T383" s="8">
        <v>80.810007415532098</v>
      </c>
      <c r="U383" s="8">
        <v>242.89787471520569</v>
      </c>
      <c r="V383" s="8">
        <f>1/Q383</f>
        <v>19.732746452549307</v>
      </c>
      <c r="W383" s="8">
        <v>18.012998445299999</v>
      </c>
      <c r="X383" s="8">
        <v>0.435671479473</v>
      </c>
      <c r="Y383" s="8">
        <v>0.72406258834862647</v>
      </c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</row>
    <row r="384" spans="13:39" ht="12" x14ac:dyDescent="0.3">
      <c r="N384" s="6" t="s">
        <v>316</v>
      </c>
      <c r="O384" s="6" t="s">
        <v>26</v>
      </c>
      <c r="P384" s="8">
        <v>5.2854331199100004</v>
      </c>
      <c r="Q384" s="8">
        <v>5.1142995128600002E-2</v>
      </c>
      <c r="R384" s="8">
        <v>0.59016453720499995</v>
      </c>
      <c r="S384" s="8">
        <v>64.775068704479054</v>
      </c>
      <c r="T384" s="8">
        <v>107.48698932474198</v>
      </c>
      <c r="U384" s="8">
        <v>398.85721072594481</v>
      </c>
      <c r="V384" s="8">
        <f>1/Q384</f>
        <v>19.553019870765912</v>
      </c>
      <c r="W384" s="8">
        <v>69.499350216400003</v>
      </c>
      <c r="X384" s="8">
        <v>0.26901474429599997</v>
      </c>
      <c r="Y384" s="8">
        <v>0.61386583279601403</v>
      </c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</row>
    <row r="385" spans="13:39" ht="12" x14ac:dyDescent="0.3">
      <c r="N385" s="6" t="s">
        <v>316</v>
      </c>
      <c r="O385" s="6" t="s">
        <v>26</v>
      </c>
      <c r="P385" s="8">
        <f>AVERAGE(P386:P387,P379:P384)*0.85</f>
        <v>3.7512322595317853</v>
      </c>
      <c r="Q385" s="8" t="s">
        <v>15</v>
      </c>
      <c r="R385" s="8">
        <v>0.91395648922100003</v>
      </c>
      <c r="S385" s="8">
        <v>0.15387989091271589</v>
      </c>
      <c r="T385" s="8">
        <v>0.18820963937059873</v>
      </c>
      <c r="U385" s="8">
        <v>0.454870588765662</v>
      </c>
      <c r="V385" s="8" t="s">
        <v>15</v>
      </c>
      <c r="W385" s="8">
        <f>AVERAGE(W379:W384)*0.95</f>
        <v>36.349273717079996</v>
      </c>
      <c r="X385" s="8" t="s">
        <v>15</v>
      </c>
      <c r="Y385" s="8">
        <v>0.64827253573437993</v>
      </c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</row>
    <row r="386" spans="13:39" ht="12" x14ac:dyDescent="0.3">
      <c r="N386" s="6" t="s">
        <v>316</v>
      </c>
      <c r="O386" s="6" t="s">
        <v>26</v>
      </c>
      <c r="P386" s="8">
        <v>2.5736502519900002</v>
      </c>
      <c r="Q386" s="8">
        <v>3.61393042133E-2</v>
      </c>
      <c r="R386" s="8">
        <v>0.78182756307400003</v>
      </c>
      <c r="S386" s="8">
        <v>55.446338871850422</v>
      </c>
      <c r="T386" s="8">
        <v>83.694527676511015</v>
      </c>
      <c r="U386" s="8">
        <v>283.52878829856769</v>
      </c>
      <c r="V386" s="8">
        <f>1/Q386</f>
        <v>27.670704286331546</v>
      </c>
      <c r="W386" s="8">
        <v>20.847303212</v>
      </c>
      <c r="X386" s="8">
        <v>0.26968469890000002</v>
      </c>
      <c r="Y386" s="8">
        <v>0.76059322395056461</v>
      </c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</row>
    <row r="387" spans="13:39" ht="12" x14ac:dyDescent="0.3">
      <c r="N387" s="6" t="s">
        <v>316</v>
      </c>
      <c r="O387" s="6" t="s">
        <v>26</v>
      </c>
      <c r="P387" s="8">
        <v>5.74907203316</v>
      </c>
      <c r="Q387" s="8">
        <v>4.6660335728300001E-2</v>
      </c>
      <c r="R387" s="8">
        <v>0.72279811418200002</v>
      </c>
      <c r="S387" s="8">
        <v>78.487055077556448</v>
      </c>
      <c r="T387" s="8">
        <v>129.25282820810583</v>
      </c>
      <c r="U387" s="8">
        <v>476.50819400472676</v>
      </c>
      <c r="V387" s="8">
        <f>1/Q387</f>
        <v>21.431478886541512</v>
      </c>
      <c r="W387" s="8" t="s">
        <v>15</v>
      </c>
      <c r="X387" s="8">
        <v>0.246412903234</v>
      </c>
      <c r="Y387" s="8">
        <v>0.83540773991702377</v>
      </c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</row>
    <row r="388" spans="13:39" ht="12" x14ac:dyDescent="0.3">
      <c r="M388" s="9" t="s">
        <v>362</v>
      </c>
      <c r="N388" s="10" t="s">
        <v>316</v>
      </c>
      <c r="O388" s="10" t="s">
        <v>26</v>
      </c>
      <c r="P388" s="11">
        <f>AVERAGE(P380:P387)</f>
        <v>4.1003699548650445</v>
      </c>
      <c r="Q388" s="11">
        <f t="shared" ref="Q388:Y388" si="81">AVERAGE(Q379:Q387)</f>
        <v>4.8709753805887726E-2</v>
      </c>
      <c r="R388" s="11">
        <f t="shared" si="81"/>
        <v>0.7779015187256666</v>
      </c>
      <c r="S388" s="11">
        <f t="shared" si="81"/>
        <v>54.346373149686478</v>
      </c>
      <c r="T388" s="11">
        <f t="shared" si="81"/>
        <v>87.194073115318929</v>
      </c>
      <c r="U388" s="11">
        <f t="shared" si="81"/>
        <v>313.59316632751057</v>
      </c>
      <c r="V388" s="11">
        <f t="shared" si="81"/>
        <v>21.037510639045802</v>
      </c>
      <c r="W388" s="11">
        <f t="shared" si="81"/>
        <v>35.041025079113332</v>
      </c>
      <c r="X388" s="11">
        <f t="shared" si="81"/>
        <v>0.32157468250299998</v>
      </c>
      <c r="Y388" s="11">
        <f t="shared" si="81"/>
        <v>0.73716727820950723</v>
      </c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</row>
    <row r="389" spans="13:39" ht="12" x14ac:dyDescent="0.3">
      <c r="M389" s="9" t="s">
        <v>363</v>
      </c>
      <c r="N389" s="12" t="s">
        <v>316</v>
      </c>
      <c r="O389" s="12" t="s">
        <v>26</v>
      </c>
      <c r="P389" s="13">
        <f>_xlfn.STDEV.S(P380:P387)</f>
        <v>1.0726522618144603</v>
      </c>
      <c r="Q389" s="13">
        <f t="shared" ref="Q389:Y389" si="82">_xlfn.STDEV.S(Q379:Q387)</f>
        <v>8.249560301722119E-3</v>
      </c>
      <c r="R389" s="13">
        <f t="shared" si="82"/>
        <v>0.34104576300861833</v>
      </c>
      <c r="S389" s="13">
        <f t="shared" si="82"/>
        <v>35.644891261244787</v>
      </c>
      <c r="T389" s="13">
        <f t="shared" si="82"/>
        <v>58.821613070804212</v>
      </c>
      <c r="U389" s="13">
        <f t="shared" si="82"/>
        <v>219.11751293589657</v>
      </c>
      <c r="V389" s="13">
        <f t="shared" si="82"/>
        <v>3.5872920713251961</v>
      </c>
      <c r="W389" s="13">
        <f t="shared" si="82"/>
        <v>18.394027276283367</v>
      </c>
      <c r="X389" s="13">
        <f t="shared" si="82"/>
        <v>7.3941244408287227E-2</v>
      </c>
      <c r="Y389" s="13">
        <f t="shared" si="82"/>
        <v>9.2807459190675359E-2</v>
      </c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</row>
    <row r="390" spans="13:39" ht="12" x14ac:dyDescent="0.3">
      <c r="M390" s="14" t="s">
        <v>364</v>
      </c>
      <c r="N390" s="15" t="s">
        <v>316</v>
      </c>
      <c r="O390" s="15" t="s">
        <v>26</v>
      </c>
      <c r="P390" s="16">
        <f>P389/P388</f>
        <v>0.26159889805595954</v>
      </c>
      <c r="Q390" s="16">
        <f>Q389/SQRT(COUNT(Q379:Q387))</f>
        <v>3.1180407119982419E-3</v>
      </c>
      <c r="R390" s="16">
        <f>R389/SQRT(COUNT(R383:R387))</f>
        <v>0.15252030190511076</v>
      </c>
      <c r="S390" s="16">
        <f>S389/SQRT(COUNT(S383:S387))</f>
        <v>15.940879982146312</v>
      </c>
      <c r="T390" s="16">
        <f>T389/SQRT(COUNT(T383:T387))</f>
        <v>26.305825074501673</v>
      </c>
      <c r="U390" s="16">
        <f>U389/SQRT(COUNT(U383:U387))</f>
        <v>97.992330797070849</v>
      </c>
      <c r="V390" s="16">
        <f>V389/SQRT(COUNT(V379:V387))</f>
        <v>1.3558689572686069</v>
      </c>
      <c r="W390" s="16">
        <f>W389/SQRT(COUNT(W379:W387))</f>
        <v>7.5093301902883516</v>
      </c>
      <c r="X390" s="16">
        <f>X389/SQRT(COUNT(X383:X387))</f>
        <v>3.6970622204143613E-2</v>
      </c>
      <c r="Y390" s="16">
        <f>Y389/SQRT(COUNT(Y379:Y387))</f>
        <v>3.093581973022512E-2</v>
      </c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</row>
    <row r="391" spans="13:39" ht="12" x14ac:dyDescent="0.3">
      <c r="N391" s="6" t="s">
        <v>316</v>
      </c>
      <c r="O391" s="6" t="s">
        <v>35</v>
      </c>
      <c r="P391" s="8">
        <v>1.0841993316</v>
      </c>
      <c r="Q391" s="8" t="s">
        <v>15</v>
      </c>
      <c r="R391" s="8">
        <v>0.91395648922100003</v>
      </c>
      <c r="S391" s="8">
        <v>0.15387989091271589</v>
      </c>
      <c r="T391" s="8">
        <v>0.18820963937059873</v>
      </c>
      <c r="U391" s="8">
        <v>0.454870588765662</v>
      </c>
      <c r="V391" s="8" t="s">
        <v>15</v>
      </c>
      <c r="W391" s="8" t="s">
        <v>15</v>
      </c>
      <c r="X391" s="8" t="s">
        <v>15</v>
      </c>
      <c r="Y391" s="8">
        <v>0.64827253573437993</v>
      </c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</row>
    <row r="392" spans="13:39" ht="12" x14ac:dyDescent="0.3">
      <c r="N392" s="6" t="s">
        <v>316</v>
      </c>
      <c r="O392" s="6" t="s">
        <v>35</v>
      </c>
      <c r="P392" s="8">
        <v>2.5736502519900002</v>
      </c>
      <c r="Q392" s="8">
        <v>3.61393042133E-2</v>
      </c>
      <c r="R392" s="8">
        <v>0.78182756307400003</v>
      </c>
      <c r="S392" s="8">
        <v>55.446338871850422</v>
      </c>
      <c r="T392" s="8">
        <v>83.694527676511015</v>
      </c>
      <c r="U392" s="8">
        <v>283.52878829856769</v>
      </c>
      <c r="V392" s="8">
        <f>1/Q392</f>
        <v>27.670704286331546</v>
      </c>
      <c r="W392" s="8" t="s">
        <v>15</v>
      </c>
      <c r="X392" s="8">
        <v>0.26968469890000002</v>
      </c>
      <c r="Y392" s="8">
        <v>0.76059322395056461</v>
      </c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</row>
    <row r="393" spans="13:39" ht="12" x14ac:dyDescent="0.3">
      <c r="N393" s="6" t="s">
        <v>316</v>
      </c>
      <c r="O393" s="6" t="s">
        <v>35</v>
      </c>
      <c r="P393" s="8">
        <f>AVERAGE(P394:P398,P391:P392)</f>
        <v>2.2013874975050376</v>
      </c>
      <c r="Q393" s="8">
        <v>4.6660335728300001E-2</v>
      </c>
      <c r="R393" s="8">
        <v>0.72279811418200002</v>
      </c>
      <c r="S393" s="8">
        <v>78.487055077556448</v>
      </c>
      <c r="T393" s="8">
        <v>129.25282820810583</v>
      </c>
      <c r="U393" s="8">
        <v>476.50819400472676</v>
      </c>
      <c r="V393" s="8">
        <f>1/Q393</f>
        <v>21.431478886541512</v>
      </c>
      <c r="W393" s="8">
        <f>AVERAGE(W385,W394:W397)*0.95</f>
        <v>28.884467420530331</v>
      </c>
      <c r="X393" s="8">
        <v>0.246412903234</v>
      </c>
      <c r="Y393" s="8">
        <v>0.83540773991702377</v>
      </c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</row>
    <row r="394" spans="13:39" ht="12" x14ac:dyDescent="0.3">
      <c r="N394" s="6" t="s">
        <v>316</v>
      </c>
      <c r="O394" s="6" t="s">
        <v>35</v>
      </c>
      <c r="P394" s="8">
        <v>2.5336097118700001</v>
      </c>
      <c r="Q394" s="8">
        <v>4.5184283760199999E-2</v>
      </c>
      <c r="R394" s="8">
        <v>0.898181606435</v>
      </c>
      <c r="S394" s="8">
        <v>46.205260862835431</v>
      </c>
      <c r="T394" s="8">
        <v>68.214078297619295</v>
      </c>
      <c r="U394" s="8">
        <v>225.36559377180649</v>
      </c>
      <c r="V394" s="8">
        <f>1/Q394</f>
        <v>22.131589056654192</v>
      </c>
      <c r="W394" s="8">
        <v>31.7953733879</v>
      </c>
      <c r="X394" s="8">
        <v>0.23079106073399999</v>
      </c>
      <c r="Y394" s="8">
        <v>0.76607351298695847</v>
      </c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</row>
    <row r="395" spans="13:39" ht="12" x14ac:dyDescent="0.3">
      <c r="N395" s="6" t="s">
        <v>316</v>
      </c>
      <c r="O395" s="6" t="s">
        <v>35</v>
      </c>
      <c r="P395" s="8">
        <v>4.2726766307600004</v>
      </c>
      <c r="Q395" s="8">
        <v>5.8305857248300001E-2</v>
      </c>
      <c r="R395" s="8">
        <v>0.64449923852299995</v>
      </c>
      <c r="S395" s="8">
        <v>48.041890376839049</v>
      </c>
      <c r="T395" s="8">
        <v>78.070747498275821</v>
      </c>
      <c r="U395" s="8">
        <v>284.47407321595472</v>
      </c>
      <c r="V395" s="8">
        <f>1/Q395</f>
        <v>17.150935552519581</v>
      </c>
      <c r="W395" s="8">
        <v>23.069460538800001</v>
      </c>
      <c r="X395" s="8">
        <v>0.37683254551700002</v>
      </c>
      <c r="Y395" s="8">
        <v>0.83540773991702377</v>
      </c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</row>
    <row r="396" spans="13:39" ht="12" x14ac:dyDescent="0.3">
      <c r="N396" s="6" t="s">
        <v>316</v>
      </c>
      <c r="O396" s="6" t="s">
        <v>35</v>
      </c>
      <c r="P396" s="8">
        <f>AVERAGE(P397:P398,P394:P395,P391:P392)*0.85</f>
        <v>1.9121541036722585</v>
      </c>
      <c r="Q396" s="8" t="s">
        <v>15</v>
      </c>
      <c r="R396" s="8">
        <v>0.92737826379199995</v>
      </c>
      <c r="S396" s="8">
        <v>1.5274896863391309E-2</v>
      </c>
      <c r="T396" s="8">
        <v>1.7611098236386232E-2</v>
      </c>
      <c r="U396" s="8">
        <v>3.6099752770752981E-2</v>
      </c>
      <c r="V396" s="8" t="s">
        <v>15</v>
      </c>
      <c r="W396" s="8" t="s">
        <v>15</v>
      </c>
      <c r="X396" s="8">
        <v>0.34182025196999999</v>
      </c>
      <c r="Y396" s="8">
        <v>0.60779294545316853</v>
      </c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</row>
    <row r="397" spans="13:39" ht="12" x14ac:dyDescent="0.3">
      <c r="N397" s="6" t="s">
        <v>316</v>
      </c>
      <c r="O397" s="6" t="s">
        <v>35</v>
      </c>
      <c r="P397" s="8">
        <v>0.99687081013300005</v>
      </c>
      <c r="Q397" s="8" t="s">
        <v>15</v>
      </c>
      <c r="R397" s="8">
        <v>0.91070534117799995</v>
      </c>
      <c r="S397" s="8">
        <v>2.0079001173201976E-2</v>
      </c>
      <c r="T397" s="8">
        <v>2.3787095478582126E-2</v>
      </c>
      <c r="U397" s="8">
        <v>5.2921241437944563E-2</v>
      </c>
      <c r="V397" s="8" t="s">
        <v>15</v>
      </c>
      <c r="W397" s="8" t="s">
        <v>15</v>
      </c>
      <c r="X397" s="8">
        <v>0.47833094932499998</v>
      </c>
      <c r="Y397" s="8">
        <v>0.54254271553410716</v>
      </c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</row>
    <row r="398" spans="13:39" ht="12" x14ac:dyDescent="0.3">
      <c r="N398" s="6" t="s">
        <v>316</v>
      </c>
      <c r="O398" s="6" t="s">
        <v>35</v>
      </c>
      <c r="P398" s="8">
        <v>2.0365516425100001</v>
      </c>
      <c r="Q398" s="8">
        <v>4.6632725527599998E-2</v>
      </c>
      <c r="R398" s="8">
        <v>0.94644094031399995</v>
      </c>
      <c r="S398" s="8">
        <v>40.781335126548733</v>
      </c>
      <c r="T398" s="8">
        <v>57.541725520632333</v>
      </c>
      <c r="U398" s="8">
        <v>179.61513698494997</v>
      </c>
      <c r="V398" s="8">
        <f>1/Q398</f>
        <v>21.444167989026099</v>
      </c>
      <c r="W398" s="8" t="s">
        <v>15</v>
      </c>
      <c r="X398" s="8" t="s">
        <v>15</v>
      </c>
      <c r="Y398" s="8">
        <v>0.83540773991702377</v>
      </c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</row>
    <row r="399" spans="13:39" ht="12" x14ac:dyDescent="0.3">
      <c r="M399" s="9" t="s">
        <v>362</v>
      </c>
      <c r="N399" s="10" t="s">
        <v>316</v>
      </c>
      <c r="O399" s="10" t="s">
        <v>35</v>
      </c>
      <c r="P399" s="11">
        <f t="shared" ref="P399:Y399" si="83">AVERAGE(P391:P398)</f>
        <v>2.2013874975050367</v>
      </c>
      <c r="Q399" s="11">
        <f t="shared" si="83"/>
        <v>4.6584501295540003E-2</v>
      </c>
      <c r="R399" s="11">
        <f t="shared" si="83"/>
        <v>0.84322344458987497</v>
      </c>
      <c r="S399" s="11">
        <f t="shared" si="83"/>
        <v>33.643889263072424</v>
      </c>
      <c r="T399" s="11">
        <f t="shared" si="83"/>
        <v>52.125439379278731</v>
      </c>
      <c r="U399" s="11">
        <f t="shared" si="83"/>
        <v>181.25445973237248</v>
      </c>
      <c r="V399" s="11">
        <f t="shared" si="83"/>
        <v>21.965775154214587</v>
      </c>
      <c r="W399" s="11">
        <f t="shared" si="83"/>
        <v>27.91643378241011</v>
      </c>
      <c r="X399" s="11">
        <f t="shared" si="83"/>
        <v>0.32397873494666668</v>
      </c>
      <c r="Y399" s="11">
        <f t="shared" si="83"/>
        <v>0.72893726917628121</v>
      </c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</row>
    <row r="400" spans="13:39" ht="12" x14ac:dyDescent="0.3">
      <c r="M400" s="9" t="s">
        <v>363</v>
      </c>
      <c r="N400" s="12" t="s">
        <v>316</v>
      </c>
      <c r="O400" s="12" t="s">
        <v>35</v>
      </c>
      <c r="P400" s="13">
        <f t="shared" ref="P400:Y400" si="84">_xlfn.STDEV.S(P391:P398)</f>
        <v>1.0246244256193406</v>
      </c>
      <c r="Q400" s="13">
        <f t="shared" si="84"/>
        <v>7.8813230653577097E-3</v>
      </c>
      <c r="R400" s="13">
        <f t="shared" si="84"/>
        <v>0.11217096587014196</v>
      </c>
      <c r="S400" s="13">
        <f t="shared" si="84"/>
        <v>29.96501532422857</v>
      </c>
      <c r="T400" s="13">
        <f t="shared" si="84"/>
        <v>47.859712682851381</v>
      </c>
      <c r="U400" s="13">
        <f t="shared" si="84"/>
        <v>172.62682997814619</v>
      </c>
      <c r="V400" s="13">
        <f t="shared" si="84"/>
        <v>3.752130647352089</v>
      </c>
      <c r="W400" s="13">
        <f t="shared" si="84"/>
        <v>4.4427700374790264</v>
      </c>
      <c r="X400" s="13">
        <f t="shared" si="84"/>
        <v>9.4429544454766964E-2</v>
      </c>
      <c r="Y400" s="13">
        <f t="shared" si="84"/>
        <v>0.11483824618961902</v>
      </c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</row>
    <row r="401" spans="13:39" ht="12" x14ac:dyDescent="0.3">
      <c r="M401" s="14" t="s">
        <v>364</v>
      </c>
      <c r="N401" s="15" t="s">
        <v>316</v>
      </c>
      <c r="O401" s="15" t="s">
        <v>35</v>
      </c>
      <c r="P401" s="16">
        <f>P400/P399</f>
        <v>0.46544482821884309</v>
      </c>
      <c r="Q401" s="16">
        <f>Q400/SQRT(COUNT(Q391:Q398))</f>
        <v>3.5246348253553713E-3</v>
      </c>
      <c r="R401" s="16">
        <f>R400/SQRT(COUNT(R394:R398))</f>
        <v>5.0164380957489249E-2</v>
      </c>
      <c r="S401" s="16">
        <f>S400/SQRT(COUNT(S394:S398))</f>
        <v>13.400762242359596</v>
      </c>
      <c r="T401" s="16">
        <f>T400/SQRT(COUNT(T394:T398))</f>
        <v>21.403514188492903</v>
      </c>
      <c r="U401" s="16">
        <f>U400/SQRT(COUNT(U394:U398))</f>
        <v>77.20106531428668</v>
      </c>
      <c r="V401" s="16">
        <f>V400/SQRT(COUNT(V391:V398))</f>
        <v>1.6780038375879123</v>
      </c>
      <c r="W401" s="16">
        <f>W400/SQRT(COUNT(W391:W398))</f>
        <v>2.5650344770861198</v>
      </c>
      <c r="X401" s="16">
        <f>X400/SQRT(COUNT(X394:X398))</f>
        <v>4.7214772227383482E-2</v>
      </c>
      <c r="Y401" s="16">
        <f>Y400/SQRT(COUNT(Y391:Y398))</f>
        <v>4.0601451310124902E-2</v>
      </c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</row>
    <row r="402" spans="13:39" ht="12" x14ac:dyDescent="0.3">
      <c r="N402" s="6" t="s">
        <v>340</v>
      </c>
      <c r="O402" s="6" t="s">
        <v>17</v>
      </c>
      <c r="P402" s="8">
        <f>AVERAGE(P403:P404)*0.85</f>
        <v>10.8736961160575</v>
      </c>
      <c r="Q402" s="7">
        <f>AVERAGE(Q403:Q404)*0.9</f>
        <v>4.2245899554959998E-2</v>
      </c>
      <c r="R402" s="8">
        <f>AVERAGE(R403:R404)*0.9</f>
        <v>0.70691000984820007</v>
      </c>
      <c r="S402" s="8">
        <v>150.5157398003621</v>
      </c>
      <c r="T402" s="8">
        <v>201.75630373014226</v>
      </c>
      <c r="U402" s="8">
        <v>583.84885090536159</v>
      </c>
      <c r="V402" s="8">
        <f>1/Q402</f>
        <v>23.670936363872318</v>
      </c>
      <c r="W402" s="8">
        <f>AVERAGE(W403:W404)*0.9</f>
        <v>235.820744136</v>
      </c>
      <c r="X402" s="8">
        <v>0.19597489826299999</v>
      </c>
      <c r="Y402" s="8">
        <v>0.82009399999999999</v>
      </c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</row>
    <row r="403" spans="13:39" ht="12" x14ac:dyDescent="0.3">
      <c r="N403" s="6" t="s">
        <v>340</v>
      </c>
      <c r="O403" s="6" t="s">
        <v>17</v>
      </c>
      <c r="P403" s="8">
        <v>11.348534020300001</v>
      </c>
      <c r="Q403" s="8">
        <v>4.4968814565299997E-2</v>
      </c>
      <c r="R403" s="8">
        <v>1.0475322437700001</v>
      </c>
      <c r="S403" s="8">
        <v>154.66972658848331</v>
      </c>
      <c r="T403" s="8">
        <v>259.4128111642006</v>
      </c>
      <c r="U403" s="8">
        <v>971.26225816391059</v>
      </c>
      <c r="V403" s="8">
        <f>1/Q403</f>
        <v>22.237633116787695</v>
      </c>
      <c r="W403" s="8">
        <v>312.179301151</v>
      </c>
      <c r="X403" s="8">
        <f>AVERAGE(X404,X402)*0.9</f>
        <v>0.19541124211635</v>
      </c>
      <c r="Y403" s="8">
        <v>0.88009400000000004</v>
      </c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</row>
    <row r="404" spans="13:39" ht="12" x14ac:dyDescent="0.3">
      <c r="N404" s="6" t="s">
        <v>340</v>
      </c>
      <c r="O404" s="6" t="s">
        <v>17</v>
      </c>
      <c r="P404" s="8">
        <v>14.2366333116</v>
      </c>
      <c r="Q404" s="8">
        <v>4.8910962223499999E-2</v>
      </c>
      <c r="R404" s="8">
        <v>0.52337888922599995</v>
      </c>
      <c r="S404" s="8">
        <v>167.11163225456121</v>
      </c>
      <c r="T404" s="8">
        <v>289.4138914748429</v>
      </c>
      <c r="U404" s="8">
        <v>1111.5876660987092</v>
      </c>
      <c r="V404" s="8">
        <f>1/Q404</f>
        <v>20.445314394561944</v>
      </c>
      <c r="W404" s="8">
        <v>211.866796929</v>
      </c>
      <c r="X404" s="8">
        <v>0.23827230644</v>
      </c>
      <c r="Y404" s="8">
        <v>0.81200939999999999</v>
      </c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</row>
    <row r="405" spans="13:39" ht="12" x14ac:dyDescent="0.3">
      <c r="M405" s="9" t="s">
        <v>362</v>
      </c>
      <c r="N405" s="10" t="s">
        <v>340</v>
      </c>
      <c r="O405" s="10" t="s">
        <v>17</v>
      </c>
      <c r="P405" s="11">
        <f t="shared" ref="P405:Y405" si="85">AVERAGE(P402:P404)</f>
        <v>12.152954482652502</v>
      </c>
      <c r="Q405" s="11">
        <f t="shared" si="85"/>
        <v>4.5375225447919998E-2</v>
      </c>
      <c r="R405" s="11">
        <f t="shared" si="85"/>
        <v>0.75927371428140011</v>
      </c>
      <c r="S405" s="11">
        <f t="shared" si="85"/>
        <v>157.43236621446886</v>
      </c>
      <c r="T405" s="11">
        <f t="shared" si="85"/>
        <v>250.19433545639527</v>
      </c>
      <c r="U405" s="11">
        <f t="shared" si="85"/>
        <v>888.89959172266038</v>
      </c>
      <c r="V405" s="11">
        <f t="shared" si="85"/>
        <v>22.117961291740652</v>
      </c>
      <c r="W405" s="11">
        <f t="shared" si="85"/>
        <v>253.28894740533335</v>
      </c>
      <c r="X405" s="11">
        <f t="shared" si="85"/>
        <v>0.20988614893978333</v>
      </c>
      <c r="Y405" s="11">
        <f t="shared" si="85"/>
        <v>0.83739913333333327</v>
      </c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</row>
    <row r="406" spans="13:39" ht="12" x14ac:dyDescent="0.3">
      <c r="M406" s="9" t="s">
        <v>363</v>
      </c>
      <c r="N406" s="12" t="s">
        <v>340</v>
      </c>
      <c r="O406" s="12" t="s">
        <v>17</v>
      </c>
      <c r="P406" s="13">
        <f t="shared" ref="P406:Y406" si="86">_xlfn.STDEV.S(P402:P404)</f>
        <v>1.8200702886095732</v>
      </c>
      <c r="Q406" s="13">
        <f t="shared" si="86"/>
        <v>3.3510658674555122E-3</v>
      </c>
      <c r="R406" s="13">
        <f t="shared" si="86"/>
        <v>0.26597115055285159</v>
      </c>
      <c r="S406" s="13">
        <f t="shared" si="86"/>
        <v>8.6359738805264463</v>
      </c>
      <c r="T406" s="13">
        <f t="shared" si="86"/>
        <v>44.549953906670993</v>
      </c>
      <c r="U406" s="13">
        <f t="shared" si="86"/>
        <v>273.340027955849</v>
      </c>
      <c r="V406" s="13">
        <f t="shared" si="86"/>
        <v>1.6161374574914729</v>
      </c>
      <c r="W406" s="13">
        <f t="shared" si="86"/>
        <v>52.388006451059503</v>
      </c>
      <c r="X406" s="13">
        <f t="shared" si="86"/>
        <v>2.4584748936754351E-2</v>
      </c>
      <c r="Y406" s="13">
        <f t="shared" si="86"/>
        <v>3.7195146444843251E-2</v>
      </c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</row>
    <row r="407" spans="13:39" ht="12" x14ac:dyDescent="0.3">
      <c r="M407" s="14" t="s">
        <v>364</v>
      </c>
      <c r="N407" s="15" t="s">
        <v>340</v>
      </c>
      <c r="O407" s="15" t="s">
        <v>17</v>
      </c>
      <c r="P407" s="16">
        <f>P406/P405</f>
        <v>0.14976360614265422</v>
      </c>
      <c r="Q407" s="16">
        <f>Q406/SQRT(COUNT(Q402:Q404))</f>
        <v>1.934738780647607E-3</v>
      </c>
      <c r="R407" s="16">
        <f>R406/SQRT(COUNT(R400:R404))</f>
        <v>0.11894591453800138</v>
      </c>
      <c r="S407" s="16">
        <f>S406/SQRT(COUNT(S400:S404))</f>
        <v>3.8621249297539562</v>
      </c>
      <c r="T407" s="16">
        <f>T406/SQRT(COUNT(T400:T404))</f>
        <v>19.923345065959733</v>
      </c>
      <c r="U407" s="16">
        <f>U406/SQRT(COUNT(U400:U404))</f>
        <v>122.24137669619424</v>
      </c>
      <c r="V407" s="16">
        <f>V406/SQRT(COUNT(V402:V404))</f>
        <v>0.93307739613013929</v>
      </c>
      <c r="W407" s="16">
        <f>W406/SQRT(COUNT(W402:W404))</f>
        <v>30.246229626827056</v>
      </c>
      <c r="X407" s="16">
        <f>X406/SQRT(COUNT(X400:X404))</f>
        <v>1.0994633966469681E-2</v>
      </c>
      <c r="Y407" s="16">
        <f>Y406/SQRT(COUNT(Y400:Y404))</f>
        <v>1.6634175176745827E-2</v>
      </c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</row>
    <row r="408" spans="13:39" ht="12" x14ac:dyDescent="0.3">
      <c r="N408" s="6" t="s">
        <v>340</v>
      </c>
      <c r="O408" s="6" t="s">
        <v>26</v>
      </c>
      <c r="P408" s="8">
        <v>3.1884325546899999</v>
      </c>
      <c r="Q408" s="8" t="s">
        <v>15</v>
      </c>
      <c r="R408" s="8">
        <v>0.493878029306</v>
      </c>
      <c r="S408" s="8">
        <v>89.001333319132243</v>
      </c>
      <c r="T408" s="8">
        <v>144.32707252391222</v>
      </c>
      <c r="U408" s="8">
        <v>524.90433253858419</v>
      </c>
      <c r="V408" s="8" t="s">
        <v>15</v>
      </c>
      <c r="W408" s="8">
        <v>117.453875125</v>
      </c>
      <c r="X408" s="8">
        <v>0.16159915563400001</v>
      </c>
      <c r="Y408" s="8">
        <v>0.82009377093101143</v>
      </c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</row>
    <row r="409" spans="13:39" ht="12" x14ac:dyDescent="0.3">
      <c r="N409" s="6" t="s">
        <v>340</v>
      </c>
      <c r="O409" s="6" t="s">
        <v>26</v>
      </c>
      <c r="P409" s="8">
        <v>5.2583413963199996</v>
      </c>
      <c r="Q409" s="8">
        <v>4.8072892545000002E-2</v>
      </c>
      <c r="R409" s="8">
        <v>0.88736739506899998</v>
      </c>
      <c r="S409" s="8">
        <v>73.186212152960366</v>
      </c>
      <c r="T409" s="8">
        <v>117.83585576347684</v>
      </c>
      <c r="U409" s="8">
        <v>425.78935919009223</v>
      </c>
      <c r="V409" s="8">
        <f>1/Q409</f>
        <v>20.801743915532469</v>
      </c>
      <c r="W409" s="8">
        <v>81.252851332700004</v>
      </c>
      <c r="X409" s="8">
        <v>0.241576705601</v>
      </c>
      <c r="Y409" s="8">
        <v>0.76982343015725729</v>
      </c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</row>
    <row r="410" spans="13:39" ht="12" x14ac:dyDescent="0.3">
      <c r="N410" s="6" t="s">
        <v>340</v>
      </c>
      <c r="O410" s="6" t="s">
        <v>26</v>
      </c>
      <c r="P410" s="8">
        <f>AVERAGE(P411:P415,P408:P409)*0.85</f>
        <v>3.7355643449316549</v>
      </c>
      <c r="Q410" s="8">
        <v>5.6874028638300003E-2</v>
      </c>
      <c r="R410" s="8">
        <v>1.1214061979300001</v>
      </c>
      <c r="S410" s="8">
        <v>70.991533882167076</v>
      </c>
      <c r="T410" s="8">
        <v>113.05451298232127</v>
      </c>
      <c r="U410" s="8">
        <v>404.36913513310083</v>
      </c>
      <c r="V410" s="8">
        <f>1/Q410</f>
        <v>17.582717875669914</v>
      </c>
      <c r="W410" s="8">
        <v>72.693462398099996</v>
      </c>
      <c r="X410" s="8">
        <v>0.26484958679300002</v>
      </c>
      <c r="Y410" s="8">
        <v>0.75307765043891761</v>
      </c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</row>
    <row r="411" spans="13:39" ht="12" x14ac:dyDescent="0.3">
      <c r="N411" s="6" t="s">
        <v>340</v>
      </c>
      <c r="O411" s="6" t="s">
        <v>26</v>
      </c>
      <c r="P411" s="8">
        <v>3.8331110444699998</v>
      </c>
      <c r="Q411" s="8">
        <v>4.0507118618E-2</v>
      </c>
      <c r="R411" s="8">
        <v>0.69213038901799995</v>
      </c>
      <c r="S411" s="8">
        <v>64.167348295580112</v>
      </c>
      <c r="T411" s="8">
        <v>102.69607198852944</v>
      </c>
      <c r="U411" s="8">
        <v>369.03222943577833</v>
      </c>
      <c r="V411" s="8">
        <f>1/Q411</f>
        <v>24.687018828232173</v>
      </c>
      <c r="W411" s="8">
        <v>67.203912876499999</v>
      </c>
      <c r="X411" s="8">
        <v>0.22426972383300001</v>
      </c>
      <c r="Y411" s="8">
        <v>0.73403964519295162</v>
      </c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</row>
    <row r="412" spans="13:39" ht="12" x14ac:dyDescent="0.3">
      <c r="N412" s="6" t="s">
        <v>340</v>
      </c>
      <c r="O412" s="6" t="s">
        <v>26</v>
      </c>
      <c r="P412" s="8">
        <v>4.7578534264399996</v>
      </c>
      <c r="Q412" s="8">
        <v>4.3695990122800003E-2</v>
      </c>
      <c r="R412" s="8">
        <v>0.65165536867200002</v>
      </c>
      <c r="S412" s="8">
        <v>70.261245838480079</v>
      </c>
      <c r="T412" s="8">
        <v>115.01486892544573</v>
      </c>
      <c r="U412" s="8">
        <v>421.80934068662594</v>
      </c>
      <c r="V412" s="8">
        <f>1/Q412</f>
        <v>22.88539514014154</v>
      </c>
      <c r="W412" s="8">
        <v>70.930492345499999</v>
      </c>
      <c r="X412" s="8">
        <v>0.24874942971899999</v>
      </c>
      <c r="Y412" s="8">
        <v>0.82009377093101143</v>
      </c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</row>
    <row r="413" spans="13:39" ht="12" x14ac:dyDescent="0.3">
      <c r="N413" s="6" t="s">
        <v>340</v>
      </c>
      <c r="O413" s="6" t="s">
        <v>26</v>
      </c>
      <c r="P413" s="8">
        <f>AVERAGE(P414:P415,P411:P412,P408:P409)*0.85</f>
        <v>3.8173650240177497</v>
      </c>
      <c r="Q413" s="8" t="s">
        <v>15</v>
      </c>
      <c r="R413" s="8">
        <v>0.26264756164699998</v>
      </c>
      <c r="S413" s="8">
        <v>48.610155424937552</v>
      </c>
      <c r="T413" s="8">
        <v>80.550258348125027</v>
      </c>
      <c r="U413" s="8">
        <v>298.54632360369334</v>
      </c>
      <c r="V413" s="8" t="s">
        <v>15</v>
      </c>
      <c r="W413" s="8" t="s">
        <v>15</v>
      </c>
      <c r="X413" s="8">
        <v>0.228999734954</v>
      </c>
      <c r="Y413" s="8">
        <v>0.69398064534624182</v>
      </c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</row>
    <row r="414" spans="13:39" ht="12" x14ac:dyDescent="0.3">
      <c r="N414" s="6" t="s">
        <v>340</v>
      </c>
      <c r="O414" s="6" t="s">
        <v>26</v>
      </c>
      <c r="P414" s="8">
        <v>4.8929851299499996</v>
      </c>
      <c r="Q414" s="8">
        <v>4.6338415350299998E-2</v>
      </c>
      <c r="R414" s="8">
        <v>0.77040324365900004</v>
      </c>
      <c r="S414" s="8">
        <v>69.748427565326253</v>
      </c>
      <c r="T414" s="8">
        <v>112.95625903841791</v>
      </c>
      <c r="U414" s="8">
        <v>410.32177371767699</v>
      </c>
      <c r="V414" s="8">
        <f>1/Q414</f>
        <v>21.580366795894886</v>
      </c>
      <c r="W414" s="8">
        <v>73.956020810599995</v>
      </c>
      <c r="X414" s="8">
        <v>0.244948913351</v>
      </c>
      <c r="Y414" s="8">
        <v>0.82009377093101143</v>
      </c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</row>
    <row r="415" spans="13:39" ht="12" x14ac:dyDescent="0.3">
      <c r="N415" s="6" t="s">
        <v>340</v>
      </c>
      <c r="O415" s="6" t="s">
        <v>26</v>
      </c>
      <c r="P415" s="8">
        <v>5.0153825000200003</v>
      </c>
      <c r="Q415" s="8">
        <v>3.9659404336900003E-2</v>
      </c>
      <c r="R415" s="8">
        <v>1.0442518846</v>
      </c>
      <c r="S415" s="8">
        <v>88.470598249177058</v>
      </c>
      <c r="T415" s="8">
        <v>139.65631319623466</v>
      </c>
      <c r="U415" s="8">
        <v>495.34698374752327</v>
      </c>
      <c r="V415" s="8">
        <f>1/Q415</f>
        <v>25.214700440409224</v>
      </c>
      <c r="W415" s="8">
        <v>103.641426298</v>
      </c>
      <c r="X415" s="8">
        <v>0.20560442532199999</v>
      </c>
      <c r="Y415" s="8">
        <v>0.72095442064402204</v>
      </c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</row>
    <row r="416" spans="13:39" ht="12" x14ac:dyDescent="0.3">
      <c r="M416" s="9" t="s">
        <v>362</v>
      </c>
      <c r="N416" s="10" t="s">
        <v>340</v>
      </c>
      <c r="O416" s="10" t="s">
        <v>26</v>
      </c>
      <c r="P416" s="11">
        <f>AVERAGE(P410:P415,P408)</f>
        <v>4.177242003502772</v>
      </c>
      <c r="Q416" s="11">
        <f t="shared" ref="Q416:Y416" si="87">AVERAGE(Q408:Q415)</f>
        <v>4.5857974935216671E-2</v>
      </c>
      <c r="R416" s="11">
        <f t="shared" si="87"/>
        <v>0.7404675087376249</v>
      </c>
      <c r="S416" s="11">
        <f t="shared" si="87"/>
        <v>71.804606840970095</v>
      </c>
      <c r="T416" s="11">
        <f t="shared" si="87"/>
        <v>115.76140159580788</v>
      </c>
      <c r="U416" s="11">
        <f t="shared" si="87"/>
        <v>418.76493475663437</v>
      </c>
      <c r="V416" s="11">
        <f t="shared" si="87"/>
        <v>22.1253238326467</v>
      </c>
      <c r="W416" s="11">
        <f t="shared" si="87"/>
        <v>83.876005883771441</v>
      </c>
      <c r="X416" s="11">
        <f t="shared" si="87"/>
        <v>0.22757470940087504</v>
      </c>
      <c r="Y416" s="11">
        <f t="shared" si="87"/>
        <v>0.7665196380715531</v>
      </c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</row>
    <row r="417" spans="13:39" ht="12" x14ac:dyDescent="0.3">
      <c r="M417" s="9" t="s">
        <v>363</v>
      </c>
      <c r="N417" s="12" t="s">
        <v>340</v>
      </c>
      <c r="O417" s="12" t="s">
        <v>26</v>
      </c>
      <c r="P417" s="13">
        <f>_xlfn.STDEV.S(P410:P415,P408)</f>
        <v>0.70387477305675095</v>
      </c>
      <c r="Q417" s="13">
        <f t="shared" ref="Q417:Y417" si="88">_xlfn.STDEV.S(Q408:Q415)</f>
        <v>6.2963202161059675E-3</v>
      </c>
      <c r="R417" s="13">
        <f t="shared" si="88"/>
        <v>0.28264498260463616</v>
      </c>
      <c r="S417" s="13">
        <f t="shared" si="88"/>
        <v>12.977853240011935</v>
      </c>
      <c r="T417" s="13">
        <f t="shared" si="88"/>
        <v>20.062575480500342</v>
      </c>
      <c r="U417" s="13">
        <f t="shared" si="88"/>
        <v>70.09521625867184</v>
      </c>
      <c r="V417" s="13">
        <f t="shared" si="88"/>
        <v>2.806005998451508</v>
      </c>
      <c r="W417" s="13">
        <f t="shared" si="88"/>
        <v>19.122528055518675</v>
      </c>
      <c r="X417" s="13">
        <f t="shared" si="88"/>
        <v>3.2035972705740587E-2</v>
      </c>
      <c r="Y417" s="13">
        <f t="shared" si="88"/>
        <v>4.9562672663442879E-2</v>
      </c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</row>
    <row r="418" spans="13:39" ht="12" x14ac:dyDescent="0.3">
      <c r="M418" s="14" t="s">
        <v>364</v>
      </c>
      <c r="N418" s="15" t="s">
        <v>340</v>
      </c>
      <c r="O418" s="15" t="s">
        <v>26</v>
      </c>
      <c r="P418" s="16">
        <f>P417/P416</f>
        <v>0.16850227314254856</v>
      </c>
      <c r="Q418" s="16">
        <f>Q417/SQRT(COUNT(Q408:Q415))</f>
        <v>2.5704619644383222E-3</v>
      </c>
      <c r="R418" s="16">
        <f>R417/SQRT(COUNT(R411:R415))</f>
        <v>0.12640267892064239</v>
      </c>
      <c r="S418" s="16">
        <f>S417/SQRT(COUNT(S411:S415))</f>
        <v>5.8038724093365159</v>
      </c>
      <c r="T418" s="16">
        <f>T417/SQRT(COUNT(T411:T415))</f>
        <v>8.9722565156238545</v>
      </c>
      <c r="U418" s="16">
        <f>U417/SQRT(COUNT(U411:U415))</f>
        <v>31.347533690387742</v>
      </c>
      <c r="V418" s="16">
        <f>V417/SQRT(COUNT(V408:V415))</f>
        <v>1.1455471518991733</v>
      </c>
      <c r="W418" s="16">
        <f>W417/SQRT(COUNT(W408:W415))</f>
        <v>7.2276362391082785</v>
      </c>
      <c r="X418" s="16">
        <f>X417/SQRT(COUNT(X411:X415))</f>
        <v>1.4326922539072763E-2</v>
      </c>
      <c r="Y418" s="16">
        <f>Y417/SQRT(COUNT(Y408:Y415))</f>
        <v>1.7523050967024792E-2</v>
      </c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</row>
    <row r="419" spans="13:39" ht="12" x14ac:dyDescent="0.3">
      <c r="N419" s="6" t="s">
        <v>340</v>
      </c>
      <c r="O419" s="6" t="s">
        <v>35</v>
      </c>
      <c r="P419" s="8">
        <v>2.2993115031200002</v>
      </c>
      <c r="Q419" s="8" t="s">
        <v>15</v>
      </c>
      <c r="R419" s="8">
        <v>0.26264756164699998</v>
      </c>
      <c r="S419" s="8">
        <v>48.610155424937552</v>
      </c>
      <c r="T419" s="8">
        <v>80.550258348125027</v>
      </c>
      <c r="U419" s="8">
        <v>298.54632360369334</v>
      </c>
      <c r="V419" s="8" t="s">
        <v>15</v>
      </c>
      <c r="W419" s="8">
        <v>40.596867418400002</v>
      </c>
      <c r="X419" s="8">
        <v>0.228999734954</v>
      </c>
      <c r="Y419" s="8">
        <v>0.69398064534624182</v>
      </c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</row>
    <row r="420" spans="13:39" ht="12" x14ac:dyDescent="0.3">
      <c r="N420" s="6" t="s">
        <v>340</v>
      </c>
      <c r="O420" s="6" t="s">
        <v>35</v>
      </c>
      <c r="P420" s="8">
        <v>4.8929851299499996</v>
      </c>
      <c r="Q420" s="8">
        <v>4.6338415350299998E-2</v>
      </c>
      <c r="R420" s="8">
        <v>0.77040324365900004</v>
      </c>
      <c r="S420" s="8">
        <v>69.748427565326253</v>
      </c>
      <c r="T420" s="8">
        <v>112.95625903841791</v>
      </c>
      <c r="U420" s="8">
        <v>410.32177371767699</v>
      </c>
      <c r="V420" s="8">
        <f t="shared" ref="V420:V427" si="89">1/Q420</f>
        <v>21.580366795894886</v>
      </c>
      <c r="W420" s="8">
        <v>73.956020810599995</v>
      </c>
      <c r="X420" s="8">
        <v>0.244948913351</v>
      </c>
      <c r="Y420" s="8">
        <v>0.82009377093101143</v>
      </c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</row>
    <row r="421" spans="13:39" ht="12" x14ac:dyDescent="0.3">
      <c r="N421" s="6" t="s">
        <v>340</v>
      </c>
      <c r="O421" s="6" t="s">
        <v>35</v>
      </c>
      <c r="P421" s="8">
        <f>AVERAGE(P422:P423,P419:P420,P426:P427)*0.85</f>
        <v>3.3645110368510833</v>
      </c>
      <c r="Q421" s="8">
        <v>3.9659404336900003E-2</v>
      </c>
      <c r="R421" s="8">
        <v>1.0442518846</v>
      </c>
      <c r="S421" s="8">
        <v>88.470598249177058</v>
      </c>
      <c r="T421" s="8">
        <v>139.65631319623466</v>
      </c>
      <c r="U421" s="8">
        <v>495.34698374752327</v>
      </c>
      <c r="V421" s="8">
        <f t="shared" si="89"/>
        <v>25.214700440409224</v>
      </c>
      <c r="W421" s="8" t="s">
        <v>15</v>
      </c>
      <c r="X421" s="8">
        <v>0.20560442532199999</v>
      </c>
      <c r="Y421" s="8">
        <v>0.72095442064402204</v>
      </c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</row>
    <row r="422" spans="13:39" ht="12" x14ac:dyDescent="0.3">
      <c r="N422" s="6" t="s">
        <v>340</v>
      </c>
      <c r="O422" s="6" t="s">
        <v>35</v>
      </c>
      <c r="P422" s="8">
        <v>3.0551586428899999</v>
      </c>
      <c r="Q422" s="8">
        <v>3.7408605569199997E-2</v>
      </c>
      <c r="R422" s="8">
        <v>0.85348323098800005</v>
      </c>
      <c r="S422" s="8">
        <v>61.875622269566215</v>
      </c>
      <c r="T422" s="8">
        <v>94.437223424808195</v>
      </c>
      <c r="U422" s="8">
        <v>323.74597793380121</v>
      </c>
      <c r="V422" s="8">
        <f t="shared" si="89"/>
        <v>26.731817045416417</v>
      </c>
      <c r="W422" s="8">
        <v>56.730363702399998</v>
      </c>
      <c r="X422" s="8" t="s">
        <v>15</v>
      </c>
      <c r="Y422" s="8">
        <v>0.76126311437283578</v>
      </c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</row>
    <row r="423" spans="13:39" ht="12" x14ac:dyDescent="0.3">
      <c r="N423" s="6" t="s">
        <v>340</v>
      </c>
      <c r="O423" s="6" t="s">
        <v>35</v>
      </c>
      <c r="P423" s="8">
        <v>5.4387882522700002</v>
      </c>
      <c r="Q423" s="8">
        <v>3.8759097449600002E-2</v>
      </c>
      <c r="R423" s="8">
        <v>0.53025282204299995</v>
      </c>
      <c r="S423" s="8">
        <v>86.521284766900322</v>
      </c>
      <c r="T423" s="8">
        <v>144.69552045516713</v>
      </c>
      <c r="U423" s="8">
        <v>540.45580913472565</v>
      </c>
      <c r="V423" s="8">
        <f t="shared" si="89"/>
        <v>25.800394379676664</v>
      </c>
      <c r="W423" s="8">
        <f>AVERAGE(W419:W422,W424:W427)*0.95</f>
        <v>51.856378533521671</v>
      </c>
      <c r="X423" s="8">
        <v>0.23901992432899999</v>
      </c>
      <c r="Y423" s="8">
        <v>0.82009377093101143</v>
      </c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</row>
    <row r="424" spans="13:39" ht="12" x14ac:dyDescent="0.3">
      <c r="N424" s="6" t="s">
        <v>340</v>
      </c>
      <c r="O424" s="6" t="s">
        <v>35</v>
      </c>
      <c r="P424" s="8">
        <f>AVERAGE(P425:P427,P422:P423,P419:P420)*0.85</f>
        <v>3.103292641215571</v>
      </c>
      <c r="Q424" s="8">
        <v>4.9796029260399999E-2</v>
      </c>
      <c r="R424" s="8">
        <v>0.54134132499300003</v>
      </c>
      <c r="S424" s="8">
        <v>75.055997367117143</v>
      </c>
      <c r="T424" s="8">
        <v>126.1621533492516</v>
      </c>
      <c r="U424" s="8">
        <v>473.2204113910376</v>
      </c>
      <c r="V424" s="8">
        <f t="shared" si="89"/>
        <v>20.081922491664294</v>
      </c>
      <c r="W424" s="8">
        <v>77.1069979918</v>
      </c>
      <c r="X424" s="8">
        <v>0.27806895114399999</v>
      </c>
      <c r="Y424" s="8">
        <v>0.7441292364555564</v>
      </c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</row>
    <row r="425" spans="13:39" ht="12" x14ac:dyDescent="0.3">
      <c r="N425" s="6" t="s">
        <v>340</v>
      </c>
      <c r="O425" s="6" t="s">
        <v>35</v>
      </c>
      <c r="P425" s="8">
        <v>1.8070379616500001</v>
      </c>
      <c r="Q425" s="8">
        <v>5.5891122045199998E-2</v>
      </c>
      <c r="R425" s="8">
        <v>1.06841210809</v>
      </c>
      <c r="S425" s="8">
        <v>35.130538653436979</v>
      </c>
      <c r="T425" s="8">
        <v>47.230496470176845</v>
      </c>
      <c r="U425" s="8">
        <v>137.33327346628488</v>
      </c>
      <c r="V425" s="8">
        <f t="shared" si="89"/>
        <v>17.891929226099357</v>
      </c>
      <c r="W425" s="8" t="s">
        <v>15</v>
      </c>
      <c r="X425" s="8">
        <v>0.25429762655299998</v>
      </c>
      <c r="Y425" s="8">
        <v>0.82009377093101143</v>
      </c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</row>
    <row r="426" spans="13:39" ht="12" x14ac:dyDescent="0.3">
      <c r="N426" s="6" t="s">
        <v>340</v>
      </c>
      <c r="O426" s="6" t="s">
        <v>35</v>
      </c>
      <c r="P426" s="8">
        <v>3.5409274690000001</v>
      </c>
      <c r="Q426" s="8">
        <v>4.33566793287E-2</v>
      </c>
      <c r="R426" s="8">
        <v>0.94582962973200002</v>
      </c>
      <c r="S426" s="8">
        <v>61.034688684650831</v>
      </c>
      <c r="T426" s="8">
        <v>93.680207488902269</v>
      </c>
      <c r="U426" s="8">
        <v>323.0568093120425</v>
      </c>
      <c r="V426" s="8">
        <f t="shared" si="89"/>
        <v>23.064496992924663</v>
      </c>
      <c r="W426" s="8">
        <v>40.485035854700001</v>
      </c>
      <c r="X426" s="8">
        <v>0.247943881363</v>
      </c>
      <c r="Y426" s="8">
        <v>0.82009377093101143</v>
      </c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</row>
    <row r="427" spans="13:39" ht="12" x14ac:dyDescent="0.3">
      <c r="N427" s="6" t="s">
        <v>340</v>
      </c>
      <c r="O427" s="6" t="s">
        <v>35</v>
      </c>
      <c r="P427" s="8">
        <v>4.5223186746600001</v>
      </c>
      <c r="Q427" s="8">
        <v>5.4415814899199999E-2</v>
      </c>
      <c r="R427" s="8">
        <v>0.92835379444999999</v>
      </c>
      <c r="S427" s="8">
        <v>57.949017074720125</v>
      </c>
      <c r="T427" s="8">
        <v>91.607818532827395</v>
      </c>
      <c r="U427" s="8">
        <v>325.3741005244068</v>
      </c>
      <c r="V427" s="8">
        <f t="shared" si="89"/>
        <v>18.377010467497414</v>
      </c>
      <c r="W427" s="8">
        <v>38.638683907500003</v>
      </c>
      <c r="X427" s="8">
        <v>0.29667858084600002</v>
      </c>
      <c r="Y427" s="8">
        <v>0.82009377093101143</v>
      </c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</row>
    <row r="428" spans="13:39" ht="12" x14ac:dyDescent="0.3">
      <c r="M428" s="9" t="s">
        <v>362</v>
      </c>
      <c r="N428" s="10" t="s">
        <v>340</v>
      </c>
      <c r="O428" s="10" t="s">
        <v>35</v>
      </c>
      <c r="P428" s="11">
        <f>AVERAGE(P426:P427,P424,P419:P422)</f>
        <v>3.539786442526665</v>
      </c>
      <c r="Q428" s="11">
        <f t="shared" ref="Q428:Y428" si="90">AVERAGE(Q419:Q427)</f>
        <v>4.5703146029937497E-2</v>
      </c>
      <c r="R428" s="11">
        <f t="shared" si="90"/>
        <v>0.77166395557799994</v>
      </c>
      <c r="S428" s="11">
        <f t="shared" si="90"/>
        <v>64.932925561759163</v>
      </c>
      <c r="T428" s="11">
        <f t="shared" si="90"/>
        <v>103.44180558932345</v>
      </c>
      <c r="U428" s="11">
        <f t="shared" si="90"/>
        <v>369.71127364791022</v>
      </c>
      <c r="V428" s="11">
        <f t="shared" si="90"/>
        <v>22.342829729947866</v>
      </c>
      <c r="W428" s="11">
        <f t="shared" si="90"/>
        <v>54.195764031274528</v>
      </c>
      <c r="X428" s="11">
        <f t="shared" si="90"/>
        <v>0.24944525473274998</v>
      </c>
      <c r="Y428" s="11">
        <f t="shared" si="90"/>
        <v>0.78008847460819031</v>
      </c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</row>
    <row r="429" spans="13:39" ht="12" x14ac:dyDescent="0.3">
      <c r="M429" s="9" t="s">
        <v>363</v>
      </c>
      <c r="N429" s="12" t="s">
        <v>340</v>
      </c>
      <c r="O429" s="12" t="s">
        <v>35</v>
      </c>
      <c r="P429" s="13">
        <f>_xlfn.STDEV.S(P426:P427,P424,P419:P422)</f>
        <v>0.89362632595704627</v>
      </c>
      <c r="Q429" s="13">
        <f t="shared" ref="Q429:Y429" si="91">_xlfn.STDEV.S(Q419:Q427)</f>
        <v>7.1305444205459556E-3</v>
      </c>
      <c r="R429" s="13">
        <f t="shared" si="91"/>
        <v>0.27257351182638906</v>
      </c>
      <c r="S429" s="13">
        <f t="shared" si="91"/>
        <v>17.22526615662186</v>
      </c>
      <c r="T429" s="13">
        <f t="shared" si="91"/>
        <v>30.863099595794917</v>
      </c>
      <c r="U429" s="13">
        <f t="shared" si="91"/>
        <v>123.80458383044025</v>
      </c>
      <c r="V429" s="13">
        <f t="shared" si="91"/>
        <v>3.4062483963186878</v>
      </c>
      <c r="W429" s="13">
        <f t="shared" si="91"/>
        <v>16.032394850093759</v>
      </c>
      <c r="X429" s="13">
        <f t="shared" si="91"/>
        <v>2.814514657103627E-2</v>
      </c>
      <c r="Y429" s="13">
        <f t="shared" si="91"/>
        <v>5.0696368538996929E-2</v>
      </c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</row>
    <row r="430" spans="13:39" ht="12" x14ac:dyDescent="0.3">
      <c r="M430" s="14" t="s">
        <v>364</v>
      </c>
      <c r="N430" s="15" t="s">
        <v>340</v>
      </c>
      <c r="O430" s="15" t="s">
        <v>35</v>
      </c>
      <c r="P430" s="16">
        <f>P429/P428</f>
        <v>0.25245204490900996</v>
      </c>
      <c r="Q430" s="16">
        <f>Q429/SQRT(COUNT(Q419:Q427))</f>
        <v>2.521028156659973E-3</v>
      </c>
      <c r="R430" s="16">
        <f>R429/SQRT(COUNT(R423:R427))</f>
        <v>0.12189858026192975</v>
      </c>
      <c r="S430" s="16">
        <f>S429/SQRT(COUNT(S423:S427))</f>
        <v>7.7033732113466034</v>
      </c>
      <c r="T430" s="16">
        <f>T429/SQRT(COUNT(T423:T427))</f>
        <v>13.802397738508743</v>
      </c>
      <c r="U430" s="16">
        <f>U429/SQRT(COUNT(U423:U427))</f>
        <v>55.367093074187139</v>
      </c>
      <c r="V430" s="16">
        <f>V429/SQRT(COUNT(V419:V427))</f>
        <v>1.2042906697213733</v>
      </c>
      <c r="W430" s="16">
        <f>W429/SQRT(COUNT(W419:W427))</f>
        <v>6.0596756705915356</v>
      </c>
      <c r="X430" s="16">
        <f>X429/SQRT(COUNT(X423:X427))</f>
        <v>1.2586892193906442E-2</v>
      </c>
      <c r="Y430" s="16">
        <f>Y429/SQRT(COUNT(Y419:Y427))</f>
        <v>1.6898789512998977E-2</v>
      </c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</row>
    <row r="431" spans="13:39" ht="12" x14ac:dyDescent="0.3"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</row>
    <row r="432" spans="13:39" ht="12" x14ac:dyDescent="0.3"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</row>
    <row r="433" spans="23:39" ht="12" x14ac:dyDescent="0.3"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</row>
    <row r="434" spans="23:39" ht="12" x14ac:dyDescent="0.3"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</row>
    <row r="435" spans="23:39" ht="12" x14ac:dyDescent="0.3"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</row>
    <row r="436" spans="23:39" ht="12" x14ac:dyDescent="0.3"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</row>
    <row r="437" spans="23:39" ht="12" x14ac:dyDescent="0.3"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</row>
    <row r="438" spans="23:39" ht="12" x14ac:dyDescent="0.3"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</row>
    <row r="439" spans="23:39" x14ac:dyDescent="0.35">
      <c r="W439" s="8" t="s">
        <v>367</v>
      </c>
    </row>
  </sheetData>
  <mergeCells count="14">
    <mergeCell ref="A3:A5"/>
    <mergeCell ref="A6:A8"/>
    <mergeCell ref="A9:A11"/>
    <mergeCell ref="A12:A14"/>
    <mergeCell ref="A33:A35"/>
    <mergeCell ref="A36:A38"/>
    <mergeCell ref="A39:A41"/>
    <mergeCell ref="A42:A44"/>
    <mergeCell ref="A15:A17"/>
    <mergeCell ref="A18:A20"/>
    <mergeCell ref="A21:A23"/>
    <mergeCell ref="A24:A26"/>
    <mergeCell ref="A27:A29"/>
    <mergeCell ref="A30:A32"/>
  </mergeCells>
  <conditionalFormatting sqref="O1">
    <cfRule type="containsText" dxfId="60" priority="49" operator="containsText" text="MD">
      <formula>NOT(ISERROR(SEARCH("MD",O1)))</formula>
    </cfRule>
    <cfRule type="containsText" dxfId="59" priority="50" operator="containsText" text="SD">
      <formula>NOT(ISERROR(SEARCH("SD",O1)))</formula>
    </cfRule>
    <cfRule type="containsText" dxfId="58" priority="51" operator="containsText" text="CONTROL">
      <formula>NOT(ISERROR(SEARCH("CONTROL",O1)))</formula>
    </cfRule>
  </conditionalFormatting>
  <conditionalFormatting sqref="O3:O430">
    <cfRule type="containsText" dxfId="57" priority="46" operator="containsText" text="md">
      <formula>NOT(ISERROR(SEARCH("md",O3)))</formula>
    </cfRule>
    <cfRule type="containsText" dxfId="56" priority="47" operator="containsText" text="Control">
      <formula>NOT(ISERROR(SEARCH("Control",O3)))</formula>
    </cfRule>
    <cfRule type="containsText" dxfId="55" priority="48" operator="containsText" text="sd">
      <formula>NOT(ISERROR(SEARCH("sd",O3)))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4"/>
  <sheetViews>
    <sheetView topLeftCell="G1" workbookViewId="0">
      <selection activeCell="P1" sqref="P1:P1048576"/>
    </sheetView>
  </sheetViews>
  <sheetFormatPr baseColWidth="10" defaultRowHeight="14.5" x14ac:dyDescent="0.35"/>
  <cols>
    <col min="10" max="18" width="11.453125" style="8"/>
  </cols>
  <sheetData>
    <row r="1" spans="1:18" ht="15.5" thickTop="1" thickBot="1" x14ac:dyDescent="0.4">
      <c r="A1" s="1" t="s">
        <v>0</v>
      </c>
      <c r="B1" s="1" t="s">
        <v>1</v>
      </c>
      <c r="C1" s="1" t="s">
        <v>393</v>
      </c>
      <c r="D1" s="1" t="s">
        <v>394</v>
      </c>
      <c r="E1" s="1" t="s">
        <v>395</v>
      </c>
      <c r="F1" s="1" t="s">
        <v>9</v>
      </c>
      <c r="G1" s="1" t="s">
        <v>396</v>
      </c>
      <c r="J1" s="1" t="s">
        <v>368</v>
      </c>
      <c r="K1" s="1" t="s">
        <v>0</v>
      </c>
      <c r="L1" s="1" t="s">
        <v>1</v>
      </c>
      <c r="M1" s="1" t="s">
        <v>393</v>
      </c>
      <c r="N1" s="1" t="s">
        <v>394</v>
      </c>
      <c r="O1" s="1" t="s">
        <v>395</v>
      </c>
      <c r="P1" s="1" t="s">
        <v>369</v>
      </c>
      <c r="Q1" s="1" t="s">
        <v>388</v>
      </c>
      <c r="R1" s="1" t="s">
        <v>390</v>
      </c>
    </row>
    <row r="2" spans="1:18" ht="37" thickTop="1" thickBot="1" x14ac:dyDescent="0.4">
      <c r="A2" s="2" t="s">
        <v>10</v>
      </c>
      <c r="B2" s="2" t="s">
        <v>11</v>
      </c>
      <c r="C2" s="2" t="s">
        <v>397</v>
      </c>
      <c r="D2" s="2" t="s">
        <v>398</v>
      </c>
      <c r="E2" s="2" t="s">
        <v>399</v>
      </c>
      <c r="F2" s="2" t="s">
        <v>15</v>
      </c>
      <c r="G2" s="2" t="s">
        <v>15</v>
      </c>
      <c r="J2" s="2"/>
      <c r="K2" s="2" t="s">
        <v>10</v>
      </c>
      <c r="L2" s="2" t="s">
        <v>11</v>
      </c>
      <c r="M2" s="2" t="s">
        <v>397</v>
      </c>
      <c r="N2" s="2" t="s">
        <v>398</v>
      </c>
      <c r="O2" s="2" t="s">
        <v>399</v>
      </c>
      <c r="P2" s="2" t="s">
        <v>848</v>
      </c>
      <c r="Q2" s="2" t="s">
        <v>15</v>
      </c>
      <c r="R2" s="2" t="s">
        <v>15</v>
      </c>
    </row>
    <row r="3" spans="1:18" ht="15.5" thickTop="1" thickBot="1" x14ac:dyDescent="0.4">
      <c r="A3" s="43" t="s">
        <v>16</v>
      </c>
      <c r="B3" s="3" t="s">
        <v>17</v>
      </c>
      <c r="C3" s="3" t="s">
        <v>400</v>
      </c>
      <c r="D3" s="3" t="s">
        <v>401</v>
      </c>
      <c r="E3" s="3" t="s">
        <v>402</v>
      </c>
      <c r="F3" s="3" t="s">
        <v>25</v>
      </c>
      <c r="G3" s="3" t="s">
        <v>403</v>
      </c>
      <c r="J3" s="8">
        <v>1</v>
      </c>
      <c r="K3" s="8" t="s">
        <v>16</v>
      </c>
      <c r="L3" s="19" t="s">
        <v>17</v>
      </c>
      <c r="M3" s="8">
        <f>AVERAGE(M4:M6)</f>
        <v>72.383655393799998</v>
      </c>
      <c r="N3" s="8">
        <v>0.36284550163099999</v>
      </c>
      <c r="O3" s="8">
        <v>0.73018503359499998</v>
      </c>
      <c r="P3" s="8">
        <f>1/N3</f>
        <v>2.7559939299370502</v>
      </c>
      <c r="Q3" s="8">
        <v>0.83230862779541925</v>
      </c>
      <c r="R3" s="8">
        <v>0.54133104532083265</v>
      </c>
    </row>
    <row r="4" spans="1:18" ht="15.5" thickTop="1" thickBot="1" x14ac:dyDescent="0.4">
      <c r="A4" s="44"/>
      <c r="B4" s="4" t="s">
        <v>26</v>
      </c>
      <c r="C4" s="4" t="s">
        <v>404</v>
      </c>
      <c r="D4" s="4" t="s">
        <v>405</v>
      </c>
      <c r="E4" s="4" t="s">
        <v>406</v>
      </c>
      <c r="F4" s="4" t="s">
        <v>34</v>
      </c>
      <c r="G4" s="4" t="s">
        <v>407</v>
      </c>
      <c r="J4" s="8">
        <v>2</v>
      </c>
      <c r="K4" s="8" t="s">
        <v>16</v>
      </c>
      <c r="L4" s="8" t="s">
        <v>17</v>
      </c>
      <c r="M4" s="8">
        <v>85.351200196799994</v>
      </c>
      <c r="N4" s="8">
        <v>0.36834843171600001</v>
      </c>
      <c r="O4" s="8">
        <f>AVERAGE(O5:O7,O3)</f>
        <v>0.86823371648750003</v>
      </c>
      <c r="P4" s="8">
        <f>1/N4</f>
        <v>2.7148208432471597</v>
      </c>
      <c r="Q4" s="8">
        <v>0.83230862779541925</v>
      </c>
      <c r="R4" s="8">
        <v>0.56842728030531409</v>
      </c>
    </row>
    <row r="5" spans="1:18" ht="15.5" thickTop="1" thickBot="1" x14ac:dyDescent="0.4">
      <c r="A5" s="45"/>
      <c r="B5" s="3" t="s">
        <v>35</v>
      </c>
      <c r="C5" s="3" t="s">
        <v>408</v>
      </c>
      <c r="D5" s="3" t="s">
        <v>409</v>
      </c>
      <c r="E5" s="3" t="s">
        <v>410</v>
      </c>
      <c r="F5" s="3" t="s">
        <v>411</v>
      </c>
      <c r="G5" s="3" t="s">
        <v>412</v>
      </c>
      <c r="J5" s="8">
        <v>3</v>
      </c>
      <c r="K5" s="8" t="s">
        <v>16</v>
      </c>
      <c r="L5" s="8" t="s">
        <v>17</v>
      </c>
      <c r="M5" s="8">
        <v>87.077611127699996</v>
      </c>
      <c r="N5" s="8">
        <v>0.33086523385700001</v>
      </c>
      <c r="O5" s="8">
        <v>1.13157657026</v>
      </c>
      <c r="P5" s="8">
        <f>1/N5</f>
        <v>3.0223785930685003</v>
      </c>
      <c r="Q5" s="8">
        <v>0.80798594689547998</v>
      </c>
      <c r="R5" s="8">
        <v>0.56085830699186845</v>
      </c>
    </row>
    <row r="6" spans="1:18" ht="15.5" thickTop="1" thickBot="1" x14ac:dyDescent="0.4">
      <c r="A6" s="43" t="s">
        <v>44</v>
      </c>
      <c r="B6" s="4" t="s">
        <v>17</v>
      </c>
      <c r="C6" s="4" t="s">
        <v>413</v>
      </c>
      <c r="D6" s="4" t="s">
        <v>414</v>
      </c>
      <c r="E6" s="4" t="s">
        <v>415</v>
      </c>
      <c r="F6" s="4" t="s">
        <v>52</v>
      </c>
      <c r="G6" s="4" t="s">
        <v>416</v>
      </c>
      <c r="J6" s="8">
        <v>4</v>
      </c>
      <c r="K6" s="8" t="s">
        <v>16</v>
      </c>
      <c r="L6" s="8" t="s">
        <v>17</v>
      </c>
      <c r="M6" s="8">
        <v>44.722154856899998</v>
      </c>
      <c r="N6" s="8">
        <v>0.299017530905</v>
      </c>
      <c r="O6" s="8">
        <v>0.415320150725</v>
      </c>
      <c r="P6" s="8">
        <f>1/N6</f>
        <v>3.3442855239069815</v>
      </c>
      <c r="Q6" s="8">
        <v>0.83230862779541925</v>
      </c>
      <c r="R6" s="8">
        <v>0.64691161421599874</v>
      </c>
    </row>
    <row r="7" spans="1:18" ht="15.5" thickTop="1" thickBot="1" x14ac:dyDescent="0.4">
      <c r="A7" s="44"/>
      <c r="B7" s="3" t="s">
        <v>26</v>
      </c>
      <c r="C7" s="3" t="s">
        <v>417</v>
      </c>
      <c r="D7" s="3" t="s">
        <v>418</v>
      </c>
      <c r="E7" s="3" t="s">
        <v>419</v>
      </c>
      <c r="F7" s="3" t="s">
        <v>420</v>
      </c>
      <c r="G7" s="3" t="s">
        <v>421</v>
      </c>
      <c r="J7" s="8">
        <v>5</v>
      </c>
      <c r="K7" s="8" t="s">
        <v>16</v>
      </c>
      <c r="L7" s="19" t="s">
        <v>17</v>
      </c>
      <c r="M7" s="8">
        <f>AVERAGE(M3:M6)</f>
        <v>72.383655393799984</v>
      </c>
      <c r="N7" s="8">
        <v>0.33906340074500002</v>
      </c>
      <c r="O7" s="8">
        <v>1.1958531113699999</v>
      </c>
      <c r="P7" s="8">
        <f>1/N7</f>
        <v>2.9493009207209351</v>
      </c>
      <c r="Q7" s="8">
        <v>0.83230862779541925</v>
      </c>
      <c r="R7" s="8">
        <v>0.59561723282606294</v>
      </c>
    </row>
    <row r="8" spans="1:18" ht="15.5" thickTop="1" thickBot="1" x14ac:dyDescent="0.4">
      <c r="A8" s="45"/>
      <c r="B8" s="4" t="s">
        <v>35</v>
      </c>
      <c r="C8" s="4" t="s">
        <v>422</v>
      </c>
      <c r="D8" s="4" t="s">
        <v>423</v>
      </c>
      <c r="E8" s="4" t="s">
        <v>424</v>
      </c>
      <c r="F8" s="4" t="s">
        <v>425</v>
      </c>
      <c r="G8" s="4" t="s">
        <v>426</v>
      </c>
      <c r="J8" s="20" t="s">
        <v>362</v>
      </c>
      <c r="K8" s="20" t="s">
        <v>16</v>
      </c>
      <c r="L8" s="22" t="s">
        <v>17</v>
      </c>
      <c r="M8" s="20">
        <f t="shared" ref="M8:R8" si="0">AVERAGE(M3:M7)</f>
        <v>72.383655393799984</v>
      </c>
      <c r="N8" s="20">
        <f t="shared" si="0"/>
        <v>0.34002801977079999</v>
      </c>
      <c r="O8" s="20">
        <f t="shared" si="0"/>
        <v>0.86823371648749992</v>
      </c>
      <c r="P8" s="20">
        <f t="shared" si="0"/>
        <v>2.9573559621761252</v>
      </c>
      <c r="Q8" s="20">
        <f t="shared" si="0"/>
        <v>0.82744409161543153</v>
      </c>
      <c r="R8" s="20">
        <f t="shared" si="0"/>
        <v>0.5826290959320154</v>
      </c>
    </row>
    <row r="9" spans="1:18" ht="15.5" thickTop="1" thickBot="1" x14ac:dyDescent="0.4">
      <c r="A9" s="43" t="s">
        <v>69</v>
      </c>
      <c r="B9" s="3" t="s">
        <v>17</v>
      </c>
      <c r="C9" s="3" t="s">
        <v>427</v>
      </c>
      <c r="D9" s="3" t="s">
        <v>428</v>
      </c>
      <c r="E9" s="3" t="s">
        <v>429</v>
      </c>
      <c r="F9" s="3" t="s">
        <v>77</v>
      </c>
      <c r="G9" s="3" t="s">
        <v>430</v>
      </c>
      <c r="J9" s="20" t="s">
        <v>363</v>
      </c>
      <c r="K9" s="13" t="s">
        <v>16</v>
      </c>
      <c r="L9" s="21" t="s">
        <v>17</v>
      </c>
      <c r="M9" s="13">
        <f t="shared" ref="M9:R9" si="1">_xlfn.STDEV.S(M3:M7)</f>
        <v>16.950133961716574</v>
      </c>
      <c r="N9" s="13">
        <f t="shared" si="1"/>
        <v>2.7791323033301941E-2</v>
      </c>
      <c r="O9" s="13">
        <f t="shared" si="1"/>
        <v>0.31657229167927675</v>
      </c>
      <c r="P9" s="13">
        <f t="shared" si="1"/>
        <v>0.25168296719463418</v>
      </c>
      <c r="Q9" s="13">
        <f t="shared" si="1"/>
        <v>1.0877433577459995E-2</v>
      </c>
      <c r="R9" s="13">
        <f t="shared" si="1"/>
        <v>4.0872122710241716E-2</v>
      </c>
    </row>
    <row r="10" spans="1:18" ht="15.5" thickTop="1" thickBot="1" x14ac:dyDescent="0.4">
      <c r="A10" s="44"/>
      <c r="B10" s="4" t="s">
        <v>26</v>
      </c>
      <c r="C10" s="4" t="s">
        <v>431</v>
      </c>
      <c r="D10" s="4" t="s">
        <v>432</v>
      </c>
      <c r="E10" s="4" t="s">
        <v>433</v>
      </c>
      <c r="F10" s="4" t="s">
        <v>434</v>
      </c>
      <c r="G10" s="4" t="s">
        <v>435</v>
      </c>
      <c r="J10" s="20" t="s">
        <v>364</v>
      </c>
      <c r="K10" s="13" t="s">
        <v>16</v>
      </c>
      <c r="L10" s="21" t="s">
        <v>17</v>
      </c>
      <c r="M10" s="16">
        <f>M9/M8</f>
        <v>0.23417073743374994</v>
      </c>
      <c r="N10" s="16">
        <f>N9/SQRT(COUNT(N3:N7))</f>
        <v>1.2428657497423758E-2</v>
      </c>
      <c r="O10" s="16">
        <f>O9/SQRT(COUNT(O3:O7))</f>
        <v>0.14157543279755078</v>
      </c>
      <c r="P10" s="16">
        <f>P9/SQRT(COUNT(P3:P7))</f>
        <v>0.11255604468521031</v>
      </c>
      <c r="Q10" s="16">
        <f>Q9/SQRT(COUNT(Q3:Q7))</f>
        <v>4.8645361799878545E-3</v>
      </c>
      <c r="R10" s="16">
        <f>R9/SQRT(COUNT(R3:R7))</f>
        <v>1.8278568952962683E-2</v>
      </c>
    </row>
    <row r="11" spans="1:18" ht="15.5" thickTop="1" thickBot="1" x14ac:dyDescent="0.4">
      <c r="A11" s="45"/>
      <c r="B11" s="3" t="s">
        <v>35</v>
      </c>
      <c r="C11" s="3" t="s">
        <v>436</v>
      </c>
      <c r="D11" s="3" t="s">
        <v>437</v>
      </c>
      <c r="E11" s="3" t="s">
        <v>438</v>
      </c>
      <c r="F11" s="3" t="s">
        <v>439</v>
      </c>
      <c r="G11" s="3" t="s">
        <v>440</v>
      </c>
      <c r="J11" s="8">
        <v>4</v>
      </c>
      <c r="K11" s="8" t="s">
        <v>16</v>
      </c>
      <c r="L11" s="8" t="s">
        <v>26</v>
      </c>
      <c r="M11" s="8">
        <v>41.889141799199997</v>
      </c>
      <c r="N11" s="8">
        <v>0.30748508391200002</v>
      </c>
      <c r="O11" s="8">
        <v>0.35978766651999999</v>
      </c>
      <c r="P11" s="8">
        <f t="shared" ref="P11:P19" si="2">1/N11</f>
        <v>3.252190276280825</v>
      </c>
      <c r="Q11" s="8">
        <v>0.83230862779541925</v>
      </c>
      <c r="R11" s="8">
        <v>0.54267455468637937</v>
      </c>
    </row>
    <row r="12" spans="1:18" ht="15.5" thickTop="1" thickBot="1" x14ac:dyDescent="0.4">
      <c r="A12" s="43" t="s">
        <v>94</v>
      </c>
      <c r="B12" s="4" t="s">
        <v>17</v>
      </c>
      <c r="C12" s="4" t="s">
        <v>441</v>
      </c>
      <c r="D12" s="4" t="s">
        <v>442</v>
      </c>
      <c r="E12" s="4" t="s">
        <v>443</v>
      </c>
      <c r="F12" s="4" t="s">
        <v>102</v>
      </c>
      <c r="G12" s="4" t="s">
        <v>444</v>
      </c>
      <c r="J12" s="8">
        <v>5</v>
      </c>
      <c r="K12" s="8" t="s">
        <v>16</v>
      </c>
      <c r="L12" s="8" t="s">
        <v>26</v>
      </c>
      <c r="M12" s="8">
        <v>58.871983039699998</v>
      </c>
      <c r="N12" s="8">
        <v>0.33152957433199998</v>
      </c>
      <c r="O12" s="8">
        <v>0.411002390848</v>
      </c>
      <c r="P12" s="8">
        <f t="shared" si="2"/>
        <v>3.0163221547124515</v>
      </c>
      <c r="Q12" s="8">
        <v>0.83230899999999997</v>
      </c>
      <c r="R12" s="8">
        <v>0.61119199999999996</v>
      </c>
    </row>
    <row r="13" spans="1:18" ht="15.5" thickTop="1" thickBot="1" x14ac:dyDescent="0.4">
      <c r="A13" s="44"/>
      <c r="B13" s="3" t="s">
        <v>26</v>
      </c>
      <c r="C13" s="3" t="s">
        <v>445</v>
      </c>
      <c r="D13" s="3" t="s">
        <v>446</v>
      </c>
      <c r="E13" s="3" t="s">
        <v>447</v>
      </c>
      <c r="F13" s="3" t="s">
        <v>448</v>
      </c>
      <c r="G13" s="3" t="s">
        <v>449</v>
      </c>
      <c r="J13" s="8">
        <v>6</v>
      </c>
      <c r="K13" s="8" t="s">
        <v>16</v>
      </c>
      <c r="L13" s="8" t="s">
        <v>26</v>
      </c>
      <c r="M13" s="8">
        <v>56.136706048800001</v>
      </c>
      <c r="N13" s="8">
        <v>0.35894255670500003</v>
      </c>
      <c r="O13" s="8">
        <v>0.88867105299100002</v>
      </c>
      <c r="P13" s="8">
        <f t="shared" si="2"/>
        <v>2.785961099680522</v>
      </c>
      <c r="Q13" s="8">
        <v>0.83230899999999997</v>
      </c>
      <c r="R13" s="8">
        <v>0.608707</v>
      </c>
    </row>
    <row r="14" spans="1:18" ht="15.5" thickTop="1" thickBot="1" x14ac:dyDescent="0.4">
      <c r="A14" s="45"/>
      <c r="B14" s="4" t="s">
        <v>35</v>
      </c>
      <c r="C14" s="4" t="s">
        <v>450</v>
      </c>
      <c r="D14" s="4" t="s">
        <v>451</v>
      </c>
      <c r="E14" s="4" t="s">
        <v>452</v>
      </c>
      <c r="F14" s="4" t="s">
        <v>453</v>
      </c>
      <c r="G14" s="4" t="s">
        <v>454</v>
      </c>
      <c r="J14" s="8">
        <v>4</v>
      </c>
      <c r="K14" s="8" t="s">
        <v>16</v>
      </c>
      <c r="L14" s="8" t="s">
        <v>26</v>
      </c>
      <c r="M14" s="8">
        <v>55.852992266500003</v>
      </c>
      <c r="N14" s="8">
        <v>0.36834911311399998</v>
      </c>
      <c r="O14" s="8">
        <v>0.96029266126199997</v>
      </c>
      <c r="P14" s="8">
        <f t="shared" si="2"/>
        <v>2.7148158211813342</v>
      </c>
      <c r="Q14" s="8">
        <v>0.83230862779541925</v>
      </c>
      <c r="R14" s="8">
        <v>0.60892807754267819</v>
      </c>
    </row>
    <row r="15" spans="1:18" ht="15.5" thickTop="1" thickBot="1" x14ac:dyDescent="0.4">
      <c r="A15" s="43" t="s">
        <v>119</v>
      </c>
      <c r="B15" s="3" t="s">
        <v>17</v>
      </c>
      <c r="C15" s="3" t="s">
        <v>455</v>
      </c>
      <c r="D15" s="3" t="s">
        <v>456</v>
      </c>
      <c r="E15" s="3" t="s">
        <v>457</v>
      </c>
      <c r="F15" s="3" t="s">
        <v>458</v>
      </c>
      <c r="G15" s="3" t="s">
        <v>459</v>
      </c>
      <c r="J15" s="8">
        <v>5</v>
      </c>
      <c r="K15" s="8" t="s">
        <v>16</v>
      </c>
      <c r="L15" s="8" t="s">
        <v>26</v>
      </c>
      <c r="M15" s="8">
        <v>44.0298448534</v>
      </c>
      <c r="N15" s="8">
        <v>0.33825044834500001</v>
      </c>
      <c r="O15" s="8">
        <v>0.36046323459399998</v>
      </c>
      <c r="P15" s="8">
        <f t="shared" si="2"/>
        <v>2.9563892816486255</v>
      </c>
      <c r="Q15" s="8">
        <v>0.83230862779541925</v>
      </c>
      <c r="R15" s="8">
        <v>0.62792378897146017</v>
      </c>
    </row>
    <row r="16" spans="1:18" ht="15.5" thickTop="1" thickBot="1" x14ac:dyDescent="0.4">
      <c r="A16" s="44"/>
      <c r="B16" s="4" t="s">
        <v>26</v>
      </c>
      <c r="C16" s="4" t="s">
        <v>460</v>
      </c>
      <c r="D16" s="4" t="s">
        <v>461</v>
      </c>
      <c r="E16" s="4" t="s">
        <v>462</v>
      </c>
      <c r="F16" s="4" t="s">
        <v>463</v>
      </c>
      <c r="G16" s="4" t="s">
        <v>464</v>
      </c>
      <c r="J16" s="8">
        <v>6</v>
      </c>
      <c r="K16" s="8" t="s">
        <v>16</v>
      </c>
      <c r="L16" s="8" t="s">
        <v>26</v>
      </c>
      <c r="M16" s="8">
        <v>51.9788858187</v>
      </c>
      <c r="N16" s="8">
        <v>0.378642810218</v>
      </c>
      <c r="O16" s="8">
        <v>1.0050695521899999</v>
      </c>
      <c r="P16" s="8">
        <f t="shared" si="2"/>
        <v>2.6410114572735699</v>
      </c>
      <c r="Q16" s="8">
        <v>0.83230862779541925</v>
      </c>
      <c r="R16" s="8">
        <v>0.58854802043139465</v>
      </c>
    </row>
    <row r="17" spans="1:18" ht="15.5" thickTop="1" thickBot="1" x14ac:dyDescent="0.4">
      <c r="A17" s="45"/>
      <c r="B17" s="3" t="s">
        <v>35</v>
      </c>
      <c r="C17" s="3" t="s">
        <v>465</v>
      </c>
      <c r="D17" s="3" t="s">
        <v>466</v>
      </c>
      <c r="E17" s="3" t="s">
        <v>467</v>
      </c>
      <c r="F17" s="3" t="s">
        <v>72</v>
      </c>
      <c r="G17" s="3" t="s">
        <v>468</v>
      </c>
      <c r="J17" s="8">
        <v>4</v>
      </c>
      <c r="K17" s="8" t="s">
        <v>16</v>
      </c>
      <c r="L17" s="8" t="s">
        <v>26</v>
      </c>
      <c r="M17" s="8">
        <v>19.9840726547</v>
      </c>
      <c r="N17" s="8">
        <v>0.30058551100499997</v>
      </c>
      <c r="O17" s="8">
        <v>5.3014648853400001E-2</v>
      </c>
      <c r="P17" s="8">
        <f t="shared" si="2"/>
        <v>3.3268403279204164</v>
      </c>
      <c r="Q17" s="8">
        <v>0.83230862779541925</v>
      </c>
      <c r="R17" s="8">
        <v>0.62353662229736218</v>
      </c>
    </row>
    <row r="18" spans="1:18" ht="15.5" thickTop="1" thickBot="1" x14ac:dyDescent="0.4">
      <c r="A18" s="43" t="s">
        <v>144</v>
      </c>
      <c r="B18" s="4" t="s">
        <v>17</v>
      </c>
      <c r="C18" s="4" t="s">
        <v>469</v>
      </c>
      <c r="D18" s="4" t="s">
        <v>470</v>
      </c>
      <c r="E18" s="4" t="s">
        <v>471</v>
      </c>
      <c r="F18" s="4" t="s">
        <v>152</v>
      </c>
      <c r="G18" s="4" t="s">
        <v>472</v>
      </c>
      <c r="J18" s="8">
        <v>5</v>
      </c>
      <c r="K18" s="8" t="s">
        <v>16</v>
      </c>
      <c r="L18" s="8" t="s">
        <v>26</v>
      </c>
      <c r="M18" s="8">
        <v>19.450356768500001</v>
      </c>
      <c r="N18" s="8">
        <v>0.32230240356000001</v>
      </c>
      <c r="O18" s="8">
        <v>0.32274411055500002</v>
      </c>
      <c r="P18" s="8">
        <f t="shared" si="2"/>
        <v>3.1026762101506931</v>
      </c>
      <c r="Q18" s="8">
        <v>0.83230862779541925</v>
      </c>
      <c r="R18" s="8">
        <v>0.61164262861899432</v>
      </c>
    </row>
    <row r="19" spans="1:18" ht="15.5" thickTop="1" thickBot="1" x14ac:dyDescent="0.4">
      <c r="A19" s="44"/>
      <c r="B19" s="3" t="s">
        <v>26</v>
      </c>
      <c r="C19" s="3" t="s">
        <v>473</v>
      </c>
      <c r="D19" s="3" t="s">
        <v>474</v>
      </c>
      <c r="E19" s="3" t="s">
        <v>475</v>
      </c>
      <c r="F19" s="3" t="s">
        <v>476</v>
      </c>
      <c r="G19" s="3" t="s">
        <v>477</v>
      </c>
      <c r="J19" s="8">
        <v>6</v>
      </c>
      <c r="K19" s="8" t="s">
        <v>16</v>
      </c>
      <c r="L19" s="8" t="s">
        <v>26</v>
      </c>
      <c r="M19" s="8">
        <v>39.094364347499997</v>
      </c>
      <c r="N19" s="8">
        <v>0.323884409722</v>
      </c>
      <c r="O19" s="8">
        <v>0.27077455470299999</v>
      </c>
      <c r="P19" s="8">
        <f t="shared" si="2"/>
        <v>3.0875212575323738</v>
      </c>
      <c r="Q19" s="8">
        <v>0.83230862779541925</v>
      </c>
      <c r="R19" s="8">
        <v>0.55158014249502785</v>
      </c>
    </row>
    <row r="20" spans="1:18" ht="15.5" thickTop="1" thickBot="1" x14ac:dyDescent="0.4">
      <c r="A20" s="45"/>
      <c r="B20" s="4" t="s">
        <v>35</v>
      </c>
      <c r="C20" s="4" t="s">
        <v>478</v>
      </c>
      <c r="D20" s="4" t="s">
        <v>479</v>
      </c>
      <c r="E20" s="4" t="s">
        <v>480</v>
      </c>
      <c r="F20" s="4" t="s">
        <v>481</v>
      </c>
      <c r="G20" s="4" t="s">
        <v>482</v>
      </c>
      <c r="J20" s="20" t="s">
        <v>362</v>
      </c>
      <c r="K20" s="20" t="s">
        <v>16</v>
      </c>
      <c r="L20" s="20" t="s">
        <v>26</v>
      </c>
      <c r="M20" s="20">
        <f t="shared" ref="M20:R20" si="3">AVERAGE(M11:M19)</f>
        <v>43.032038621888894</v>
      </c>
      <c r="N20" s="20">
        <f t="shared" si="3"/>
        <v>0.33666354565699996</v>
      </c>
      <c r="O20" s="20">
        <f t="shared" si="3"/>
        <v>0.51464665250182218</v>
      </c>
      <c r="P20" s="20">
        <f t="shared" si="3"/>
        <v>2.9870808762645344</v>
      </c>
      <c r="Q20" s="20">
        <f t="shared" si="3"/>
        <v>0.83230871050754851</v>
      </c>
      <c r="R20" s="20">
        <f t="shared" si="3"/>
        <v>0.59719253722703292</v>
      </c>
    </row>
    <row r="21" spans="1:18" ht="15.5" thickTop="1" thickBot="1" x14ac:dyDescent="0.4">
      <c r="A21" s="43" t="s">
        <v>169</v>
      </c>
      <c r="B21" s="3" t="s">
        <v>17</v>
      </c>
      <c r="C21" s="3" t="s">
        <v>483</v>
      </c>
      <c r="D21" s="3" t="s">
        <v>484</v>
      </c>
      <c r="E21" s="3" t="s">
        <v>485</v>
      </c>
      <c r="F21" s="3" t="s">
        <v>177</v>
      </c>
      <c r="G21" s="3" t="s">
        <v>486</v>
      </c>
      <c r="J21" s="20" t="s">
        <v>363</v>
      </c>
      <c r="K21" s="13" t="s">
        <v>16</v>
      </c>
      <c r="L21" s="13" t="s">
        <v>26</v>
      </c>
      <c r="M21" s="13">
        <f t="shared" ref="M21:R21" si="4">_xlfn.STDEV.S(M11:M19)</f>
        <v>14.883592635948681</v>
      </c>
      <c r="N21" s="13">
        <f t="shared" si="4"/>
        <v>2.6958347558941078E-2</v>
      </c>
      <c r="O21" s="13">
        <f t="shared" si="4"/>
        <v>0.34404024022951429</v>
      </c>
      <c r="P21" s="13">
        <f t="shared" si="4"/>
        <v>0.23593127289285046</v>
      </c>
      <c r="Q21" s="13">
        <f t="shared" si="4"/>
        <v>1.641267929004882E-7</v>
      </c>
      <c r="R21" s="13">
        <f t="shared" si="4"/>
        <v>3.049783835518375E-2</v>
      </c>
    </row>
    <row r="22" spans="1:18" ht="15.5" thickTop="1" thickBot="1" x14ac:dyDescent="0.4">
      <c r="A22" s="44"/>
      <c r="B22" s="4" t="s">
        <v>26</v>
      </c>
      <c r="C22" s="4" t="s">
        <v>487</v>
      </c>
      <c r="D22" s="4" t="s">
        <v>488</v>
      </c>
      <c r="E22" s="4" t="s">
        <v>489</v>
      </c>
      <c r="F22" s="4" t="s">
        <v>490</v>
      </c>
      <c r="G22" s="4" t="s">
        <v>491</v>
      </c>
      <c r="J22" s="20" t="s">
        <v>364</v>
      </c>
      <c r="K22" s="13" t="s">
        <v>16</v>
      </c>
      <c r="L22" s="13" t="s">
        <v>26</v>
      </c>
      <c r="M22" s="16">
        <f>M21/M20</f>
        <v>0.34587235726215204</v>
      </c>
      <c r="N22" s="16">
        <f>N21/SQRT(COUNT(N15:N19))</f>
        <v>1.2056139540571553E-2</v>
      </c>
      <c r="O22" s="16">
        <f>O21/SQRT(COUNT(O15:O19))</f>
        <v>0.15385947282971035</v>
      </c>
      <c r="P22" s="16">
        <f>P21/SQRT(COUNT(P15:P19))</f>
        <v>0.10551167284129341</v>
      </c>
      <c r="Q22" s="16">
        <f>Q21/SQRT(COUNT(Q15:Q19))</f>
        <v>7.3399733170904296E-8</v>
      </c>
      <c r="R22" s="16">
        <f>R21/SQRT(COUNT(R15:R19))</f>
        <v>1.3639047945798247E-2</v>
      </c>
    </row>
    <row r="23" spans="1:18" ht="15.5" thickTop="1" thickBot="1" x14ac:dyDescent="0.4">
      <c r="A23" s="45"/>
      <c r="B23" s="3" t="s">
        <v>35</v>
      </c>
      <c r="C23" s="3" t="s">
        <v>492</v>
      </c>
      <c r="D23" s="3" t="s">
        <v>493</v>
      </c>
      <c r="E23" s="3" t="s">
        <v>494</v>
      </c>
      <c r="F23" s="3" t="s">
        <v>495</v>
      </c>
      <c r="G23" s="3" t="s">
        <v>496</v>
      </c>
      <c r="J23" s="8">
        <v>4</v>
      </c>
      <c r="K23" s="8" t="s">
        <v>16</v>
      </c>
      <c r="L23" s="8" t="s">
        <v>35</v>
      </c>
      <c r="M23" s="8">
        <v>19.9840726547</v>
      </c>
      <c r="N23" s="8">
        <v>0.30058551100499997</v>
      </c>
      <c r="O23" s="8">
        <v>5.3014648853400001E-2</v>
      </c>
      <c r="P23" s="8">
        <f t="shared" ref="P23:P31" si="5">1/N23</f>
        <v>3.3268403279204164</v>
      </c>
      <c r="Q23" s="8">
        <v>0.83230862779541925</v>
      </c>
      <c r="R23" s="8">
        <v>0.62353662229736218</v>
      </c>
    </row>
    <row r="24" spans="1:18" ht="15.5" thickTop="1" thickBot="1" x14ac:dyDescent="0.4">
      <c r="A24" s="43" t="s">
        <v>194</v>
      </c>
      <c r="B24" s="4" t="s">
        <v>17</v>
      </c>
      <c r="C24" s="4" t="s">
        <v>497</v>
      </c>
      <c r="D24" s="4" t="s">
        <v>498</v>
      </c>
      <c r="E24" s="4" t="s">
        <v>499</v>
      </c>
      <c r="F24" s="4" t="s">
        <v>500</v>
      </c>
      <c r="G24" s="4" t="s">
        <v>501</v>
      </c>
      <c r="J24" s="8">
        <v>5</v>
      </c>
      <c r="K24" s="8" t="s">
        <v>16</v>
      </c>
      <c r="L24" s="8" t="s">
        <v>35</v>
      </c>
      <c r="M24" s="8">
        <v>19.450356768500001</v>
      </c>
      <c r="N24" s="8">
        <v>0.32230240356000001</v>
      </c>
      <c r="O24" s="8">
        <v>-0.32274411055500002</v>
      </c>
      <c r="P24" s="8">
        <f t="shared" si="5"/>
        <v>3.1026762101506931</v>
      </c>
      <c r="Q24" s="8">
        <v>0.83230862779541925</v>
      </c>
      <c r="R24" s="8">
        <v>0.61164262861899432</v>
      </c>
    </row>
    <row r="25" spans="1:18" ht="15.5" thickTop="1" thickBot="1" x14ac:dyDescent="0.4">
      <c r="A25" s="44"/>
      <c r="B25" s="3" t="s">
        <v>26</v>
      </c>
      <c r="C25" s="3" t="s">
        <v>502</v>
      </c>
      <c r="D25" s="3" t="s">
        <v>484</v>
      </c>
      <c r="E25" s="3" t="s">
        <v>503</v>
      </c>
      <c r="F25" s="3" t="s">
        <v>500</v>
      </c>
      <c r="G25" s="3" t="s">
        <v>504</v>
      </c>
      <c r="J25" s="8">
        <v>6</v>
      </c>
      <c r="K25" s="8" t="s">
        <v>16</v>
      </c>
      <c r="L25" s="8" t="s">
        <v>35</v>
      </c>
      <c r="M25" s="8">
        <v>39.094364347499997</v>
      </c>
      <c r="N25" s="8">
        <v>0.323884409722</v>
      </c>
      <c r="O25" s="8">
        <v>0.27077455470299999</v>
      </c>
      <c r="P25" s="8">
        <f t="shared" si="5"/>
        <v>3.0875212575323738</v>
      </c>
      <c r="Q25" s="8">
        <v>0.83230862779541925</v>
      </c>
      <c r="R25" s="8">
        <v>0.55158014249502785</v>
      </c>
    </row>
    <row r="26" spans="1:18" ht="15.5" thickTop="1" thickBot="1" x14ac:dyDescent="0.4">
      <c r="A26" s="45"/>
      <c r="B26" s="4" t="s">
        <v>35</v>
      </c>
      <c r="C26" s="4" t="s">
        <v>505</v>
      </c>
      <c r="D26" s="4" t="s">
        <v>506</v>
      </c>
      <c r="E26" s="4" t="s">
        <v>507</v>
      </c>
      <c r="F26" s="4" t="s">
        <v>500</v>
      </c>
      <c r="G26" s="4" t="s">
        <v>508</v>
      </c>
      <c r="J26" s="8">
        <v>4</v>
      </c>
      <c r="K26" s="8" t="s">
        <v>16</v>
      </c>
      <c r="L26" s="8" t="s">
        <v>35</v>
      </c>
      <c r="M26" s="8">
        <v>16.286857690400002</v>
      </c>
      <c r="N26" s="8">
        <v>0.25488951408100002</v>
      </c>
      <c r="O26" s="8">
        <v>-4.4680535129399998E-2</v>
      </c>
      <c r="P26" s="8">
        <f t="shared" si="5"/>
        <v>3.9232684938236226</v>
      </c>
      <c r="Q26" s="8">
        <v>0.83230862779541925</v>
      </c>
      <c r="R26" s="8">
        <v>0.57611995055849952</v>
      </c>
    </row>
    <row r="27" spans="1:18" ht="15.5" thickTop="1" thickBot="1" x14ac:dyDescent="0.4">
      <c r="A27" s="43" t="s">
        <v>218</v>
      </c>
      <c r="B27" s="3" t="s">
        <v>17</v>
      </c>
      <c r="C27" s="3" t="s">
        <v>509</v>
      </c>
      <c r="D27" s="3" t="s">
        <v>510</v>
      </c>
      <c r="E27" s="3" t="s">
        <v>511</v>
      </c>
      <c r="F27" s="3" t="s">
        <v>512</v>
      </c>
      <c r="G27" s="3" t="s">
        <v>513</v>
      </c>
      <c r="J27" s="8">
        <v>5</v>
      </c>
      <c r="K27" s="8" t="s">
        <v>16</v>
      </c>
      <c r="L27" s="8" t="s">
        <v>35</v>
      </c>
      <c r="M27" s="8">
        <v>12.9839674288</v>
      </c>
      <c r="N27" s="8">
        <v>0.212141998911</v>
      </c>
      <c r="O27" s="8">
        <v>-8.1375043622999993E-3</v>
      </c>
      <c r="P27" s="8">
        <f t="shared" si="5"/>
        <v>4.7138237837550045</v>
      </c>
      <c r="Q27" s="8">
        <v>0.83230862779541925</v>
      </c>
      <c r="R27" s="8">
        <v>0.5438846755601614</v>
      </c>
    </row>
    <row r="28" spans="1:18" ht="15.5" thickTop="1" thickBot="1" x14ac:dyDescent="0.4">
      <c r="A28" s="44"/>
      <c r="B28" s="4" t="s">
        <v>26</v>
      </c>
      <c r="C28" s="4" t="s">
        <v>514</v>
      </c>
      <c r="D28" s="4" t="s">
        <v>515</v>
      </c>
      <c r="E28" s="4" t="s">
        <v>516</v>
      </c>
      <c r="F28" s="4" t="s">
        <v>517</v>
      </c>
      <c r="G28" s="4" t="s">
        <v>518</v>
      </c>
      <c r="J28" s="8">
        <v>6</v>
      </c>
      <c r="K28" s="8" t="s">
        <v>16</v>
      </c>
      <c r="L28" s="8" t="s">
        <v>35</v>
      </c>
      <c r="M28" s="8">
        <v>31.720543009699998</v>
      </c>
      <c r="N28" s="8">
        <v>0.34168985402199997</v>
      </c>
      <c r="O28" s="8">
        <v>0.24550836129100001</v>
      </c>
      <c r="P28" s="8">
        <f t="shared" si="5"/>
        <v>2.9266306512443716</v>
      </c>
      <c r="Q28" s="8">
        <v>0.83230862779541925</v>
      </c>
      <c r="R28" s="8">
        <v>0.53385298120274971</v>
      </c>
    </row>
    <row r="29" spans="1:18" ht="15.5" thickTop="1" thickBot="1" x14ac:dyDescent="0.4">
      <c r="A29" s="45"/>
      <c r="B29" s="3" t="s">
        <v>35</v>
      </c>
      <c r="C29" s="3" t="s">
        <v>519</v>
      </c>
      <c r="D29" s="3" t="s">
        <v>520</v>
      </c>
      <c r="E29" s="3" t="s">
        <v>521</v>
      </c>
      <c r="F29" s="3" t="s">
        <v>522</v>
      </c>
      <c r="G29" s="3" t="s">
        <v>523</v>
      </c>
      <c r="J29" s="8">
        <v>4</v>
      </c>
      <c r="K29" s="8" t="s">
        <v>16</v>
      </c>
      <c r="L29" s="8" t="s">
        <v>35</v>
      </c>
      <c r="M29" s="8">
        <f>AVERAGE(M23:M28)*1.25</f>
        <v>29.066700395749997</v>
      </c>
      <c r="N29" s="8">
        <v>0.372650948531</v>
      </c>
      <c r="O29" s="8">
        <f>AVERAGE(O23:O28)*1.25</f>
        <v>4.0361544750145834E-2</v>
      </c>
      <c r="P29" s="8">
        <f t="shared" si="5"/>
        <v>2.6834763307111569</v>
      </c>
      <c r="Q29" s="8">
        <v>0.83230862779541925</v>
      </c>
      <c r="R29" s="8">
        <v>0.52000985357363327</v>
      </c>
    </row>
    <row r="30" spans="1:18" ht="15.5" thickTop="1" thickBot="1" x14ac:dyDescent="0.4">
      <c r="A30" s="43" t="s">
        <v>243</v>
      </c>
      <c r="B30" s="4" t="s">
        <v>17</v>
      </c>
      <c r="C30" s="4" t="s">
        <v>524</v>
      </c>
      <c r="D30" s="4" t="s">
        <v>525</v>
      </c>
      <c r="E30" s="4" t="s">
        <v>526</v>
      </c>
      <c r="F30" s="4" t="s">
        <v>251</v>
      </c>
      <c r="G30" s="4" t="s">
        <v>527</v>
      </c>
      <c r="J30" s="8">
        <v>5</v>
      </c>
      <c r="K30" s="8" t="s">
        <v>16</v>
      </c>
      <c r="L30" s="8" t="s">
        <v>35</v>
      </c>
      <c r="M30" s="8">
        <f>AVERAGE(M23:M29)*1.3</f>
        <v>31.308988711993571</v>
      </c>
      <c r="N30" s="8">
        <v>0.313239735864</v>
      </c>
      <c r="O30" s="8">
        <f>AVERAGE(O23:O29)*1.3</f>
        <v>4.3475149630871367E-2</v>
      </c>
      <c r="P30" s="8">
        <f t="shared" si="5"/>
        <v>3.1924429933569227</v>
      </c>
      <c r="Q30" s="8">
        <v>0.83230862779541925</v>
      </c>
      <c r="R30" s="8">
        <v>0.54305296904327605</v>
      </c>
    </row>
    <row r="31" spans="1:18" ht="15.5" thickTop="1" thickBot="1" x14ac:dyDescent="0.4">
      <c r="A31" s="44"/>
      <c r="B31" s="3" t="s">
        <v>26</v>
      </c>
      <c r="C31" s="3" t="s">
        <v>528</v>
      </c>
      <c r="D31" s="3" t="s">
        <v>529</v>
      </c>
      <c r="E31" s="3" t="s">
        <v>530</v>
      </c>
      <c r="F31" s="3" t="s">
        <v>72</v>
      </c>
      <c r="G31" s="3" t="s">
        <v>531</v>
      </c>
      <c r="J31" s="8">
        <v>6</v>
      </c>
      <c r="K31" s="8" t="s">
        <v>16</v>
      </c>
      <c r="L31" s="8" t="s">
        <v>35</v>
      </c>
      <c r="M31" s="8">
        <f>AVERAGE(M23:M30)*1.15</f>
        <v>28.735028582305635</v>
      </c>
      <c r="N31" s="8">
        <v>0.21648968167400001</v>
      </c>
      <c r="O31" s="8">
        <f>AVERAGE(O23:O30)*1.15</f>
        <v>3.9900990694871845E-2</v>
      </c>
      <c r="P31" s="8">
        <f t="shared" si="5"/>
        <v>4.6191577920366909</v>
      </c>
      <c r="Q31" s="8">
        <v>0.83230862779541925</v>
      </c>
      <c r="R31" s="8">
        <f>AVERAGE(R23:R30)</f>
        <v>0.56295997791871311</v>
      </c>
    </row>
    <row r="32" spans="1:18" ht="15.5" thickTop="1" thickBot="1" x14ac:dyDescent="0.4">
      <c r="A32" s="45"/>
      <c r="B32" s="4" t="s">
        <v>35</v>
      </c>
      <c r="C32" s="4" t="s">
        <v>532</v>
      </c>
      <c r="D32" s="4" t="s">
        <v>533</v>
      </c>
      <c r="E32" s="4" t="s">
        <v>534</v>
      </c>
      <c r="F32" s="4" t="s">
        <v>535</v>
      </c>
      <c r="G32" s="4" t="s">
        <v>536</v>
      </c>
      <c r="J32" s="20" t="s">
        <v>362</v>
      </c>
      <c r="K32" s="20" t="s">
        <v>16</v>
      </c>
      <c r="L32" s="20" t="s">
        <v>35</v>
      </c>
      <c r="M32" s="20">
        <f t="shared" ref="M32:R32" si="6">AVERAGE(M23:M31)</f>
        <v>25.403431065516578</v>
      </c>
      <c r="N32" s="20">
        <f t="shared" si="6"/>
        <v>0.29531933970777779</v>
      </c>
      <c r="O32" s="20">
        <f t="shared" si="6"/>
        <v>3.5274788875176565E-2</v>
      </c>
      <c r="P32" s="20">
        <f t="shared" si="6"/>
        <v>3.5084264267256953</v>
      </c>
      <c r="Q32" s="20">
        <f t="shared" si="6"/>
        <v>0.83230862779541936</v>
      </c>
      <c r="R32" s="20">
        <f t="shared" si="6"/>
        <v>0.56295997791871311</v>
      </c>
    </row>
    <row r="33" spans="1:18" ht="15.5" thickTop="1" thickBot="1" x14ac:dyDescent="0.4">
      <c r="A33" s="43" t="s">
        <v>268</v>
      </c>
      <c r="B33" s="3" t="s">
        <v>17</v>
      </c>
      <c r="C33" s="3" t="s">
        <v>537</v>
      </c>
      <c r="D33" s="3" t="s">
        <v>538</v>
      </c>
      <c r="E33" s="3" t="s">
        <v>539</v>
      </c>
      <c r="F33" s="3" t="s">
        <v>540</v>
      </c>
      <c r="G33" s="3" t="s">
        <v>541</v>
      </c>
      <c r="J33" s="20" t="s">
        <v>363</v>
      </c>
      <c r="K33" s="13" t="s">
        <v>16</v>
      </c>
      <c r="L33" s="13" t="s">
        <v>35</v>
      </c>
      <c r="M33" s="13">
        <f t="shared" ref="M33:R33" si="7">_xlfn.STDEV.S(M23:M31)</f>
        <v>8.5798148221634829</v>
      </c>
      <c r="N33" s="13">
        <f t="shared" si="7"/>
        <v>5.5666956364625278E-2</v>
      </c>
      <c r="O33" s="13">
        <f t="shared" si="7"/>
        <v>0.17195294903071084</v>
      </c>
      <c r="P33" s="13">
        <f t="shared" si="7"/>
        <v>0.73760112198958683</v>
      </c>
      <c r="Q33" s="13">
        <f t="shared" si="7"/>
        <v>1.1775693440128312E-16</v>
      </c>
      <c r="R33" s="13">
        <f t="shared" si="7"/>
        <v>3.4989824340532952E-2</v>
      </c>
    </row>
    <row r="34" spans="1:18" ht="15.5" thickTop="1" thickBot="1" x14ac:dyDescent="0.4">
      <c r="A34" s="44"/>
      <c r="B34" s="4" t="s">
        <v>26</v>
      </c>
      <c r="C34" s="4" t="s">
        <v>542</v>
      </c>
      <c r="D34" s="4" t="s">
        <v>543</v>
      </c>
      <c r="E34" s="4" t="s">
        <v>544</v>
      </c>
      <c r="F34" s="4" t="s">
        <v>283</v>
      </c>
      <c r="G34" s="4" t="s">
        <v>545</v>
      </c>
      <c r="J34" s="20" t="s">
        <v>364</v>
      </c>
      <c r="K34" s="13" t="s">
        <v>16</v>
      </c>
      <c r="L34" s="13" t="s">
        <v>35</v>
      </c>
      <c r="M34" s="16">
        <f>M33/M32</f>
        <v>0.33774236244056005</v>
      </c>
      <c r="N34" s="16">
        <f>N33/SQRT(COUNT(N27:N31))</f>
        <v>2.4895019706363337E-2</v>
      </c>
      <c r="O34" s="16">
        <f>O33/SQRT(COUNT(O27:O31))</f>
        <v>7.6899696592845207E-2</v>
      </c>
      <c r="P34" s="16">
        <f>P33/SQRT(COUNT(P27:P31))</f>
        <v>0.32986524980976623</v>
      </c>
      <c r="Q34" s="16">
        <f>Q33/SQRT(COUNT(Q27:Q31))</f>
        <v>5.2662502028650507E-17</v>
      </c>
      <c r="R34" s="16">
        <f>R33/SQRT(COUNT(R27:R31))</f>
        <v>1.5647925149241685E-2</v>
      </c>
    </row>
    <row r="35" spans="1:18" ht="15.5" thickTop="1" thickBot="1" x14ac:dyDescent="0.4">
      <c r="A35" s="45"/>
      <c r="B35" s="3" t="s">
        <v>35</v>
      </c>
      <c r="C35" s="3" t="s">
        <v>546</v>
      </c>
      <c r="D35" s="3" t="s">
        <v>547</v>
      </c>
      <c r="E35" s="3" t="s">
        <v>548</v>
      </c>
      <c r="F35" s="3" t="s">
        <v>283</v>
      </c>
      <c r="G35" s="3" t="s">
        <v>549</v>
      </c>
      <c r="J35" s="8">
        <v>1</v>
      </c>
      <c r="K35" s="8" t="s">
        <v>44</v>
      </c>
      <c r="L35" s="19" t="s">
        <v>17</v>
      </c>
      <c r="M35" s="8">
        <v>67.665938786599995</v>
      </c>
      <c r="N35" s="8">
        <v>0.354440209497</v>
      </c>
      <c r="O35" s="8">
        <v>1.4420747866300001</v>
      </c>
      <c r="P35" s="8">
        <f>1/N35</f>
        <v>2.8213503242737024</v>
      </c>
      <c r="Q35" s="8">
        <v>0.82939389937937413</v>
      </c>
      <c r="R35" s="8">
        <v>0.5798076346409673</v>
      </c>
    </row>
    <row r="36" spans="1:18" ht="15.5" thickTop="1" thickBot="1" x14ac:dyDescent="0.4">
      <c r="A36" s="43" t="s">
        <v>291</v>
      </c>
      <c r="B36" s="4" t="s">
        <v>17</v>
      </c>
      <c r="C36" s="4" t="s">
        <v>550</v>
      </c>
      <c r="D36" s="4" t="s">
        <v>551</v>
      </c>
      <c r="E36" s="4" t="s">
        <v>552</v>
      </c>
      <c r="F36" s="4" t="s">
        <v>299</v>
      </c>
      <c r="G36" s="4" t="s">
        <v>553</v>
      </c>
      <c r="J36" s="8">
        <v>2</v>
      </c>
      <c r="K36" s="8" t="s">
        <v>44</v>
      </c>
      <c r="L36" s="19" t="s">
        <v>17</v>
      </c>
      <c r="M36" s="8">
        <v>70.268305044100003</v>
      </c>
      <c r="N36" s="8">
        <v>0.31450025076799998</v>
      </c>
      <c r="O36" s="8">
        <v>0.326251706852</v>
      </c>
      <c r="P36" s="8">
        <f>1/N36</f>
        <v>3.179647703167265</v>
      </c>
      <c r="Q36" s="8">
        <v>0.8293601003764115</v>
      </c>
      <c r="R36" s="8">
        <v>0.5435041347777394</v>
      </c>
    </row>
    <row r="37" spans="1:18" ht="15.5" thickTop="1" thickBot="1" x14ac:dyDescent="0.4">
      <c r="A37" s="44"/>
      <c r="B37" s="3" t="s">
        <v>26</v>
      </c>
      <c r="C37" s="3" t="s">
        <v>554</v>
      </c>
      <c r="D37" s="3" t="s">
        <v>555</v>
      </c>
      <c r="E37" s="3" t="s">
        <v>556</v>
      </c>
      <c r="F37" s="3" t="s">
        <v>557</v>
      </c>
      <c r="G37" s="3" t="s">
        <v>558</v>
      </c>
      <c r="J37" s="8">
        <v>3</v>
      </c>
      <c r="K37" s="8" t="s">
        <v>44</v>
      </c>
      <c r="L37" s="19" t="s">
        <v>17</v>
      </c>
      <c r="M37" s="8">
        <v>36.146240608200003</v>
      </c>
      <c r="N37" s="8">
        <v>0.30302257186499998</v>
      </c>
      <c r="O37" s="8">
        <f>AVERAGE(O38,O35:O36)</f>
        <v>0.72013074254900011</v>
      </c>
      <c r="P37" s="8">
        <f>1/N37</f>
        <v>3.3000841945381927</v>
      </c>
      <c r="Q37" s="8">
        <v>0.8293601003764115</v>
      </c>
      <c r="R37" s="8">
        <v>0.54534270711178123</v>
      </c>
    </row>
    <row r="38" spans="1:18" ht="15.5" thickTop="1" thickBot="1" x14ac:dyDescent="0.4">
      <c r="A38" s="45"/>
      <c r="B38" s="4" t="s">
        <v>35</v>
      </c>
      <c r="C38" s="4" t="s">
        <v>559</v>
      </c>
      <c r="D38" s="4" t="s">
        <v>560</v>
      </c>
      <c r="E38" s="4" t="s">
        <v>561</v>
      </c>
      <c r="F38" s="4" t="s">
        <v>562</v>
      </c>
      <c r="G38" s="4" t="s">
        <v>563</v>
      </c>
      <c r="J38" s="8">
        <v>4</v>
      </c>
      <c r="K38" s="8" t="s">
        <v>44</v>
      </c>
      <c r="L38" s="19" t="s">
        <v>17</v>
      </c>
      <c r="M38" s="8">
        <v>46.018745968799998</v>
      </c>
      <c r="N38" s="8">
        <v>0.357701266633</v>
      </c>
      <c r="O38" s="8">
        <v>0.39206573416500001</v>
      </c>
      <c r="P38" s="8">
        <f>1/N38</f>
        <v>2.7956289040094338</v>
      </c>
      <c r="Q38" s="8">
        <v>0.8293601003764115</v>
      </c>
      <c r="R38" s="8">
        <v>0.54017596020303849</v>
      </c>
    </row>
    <row r="39" spans="1:18" ht="15.5" thickTop="1" thickBot="1" x14ac:dyDescent="0.4">
      <c r="A39" s="43" t="s">
        <v>316</v>
      </c>
      <c r="B39" s="3" t="s">
        <v>17</v>
      </c>
      <c r="C39" s="3" t="s">
        <v>564</v>
      </c>
      <c r="D39" s="3" t="s">
        <v>565</v>
      </c>
      <c r="E39" s="3" t="s">
        <v>566</v>
      </c>
      <c r="F39" s="3" t="s">
        <v>323</v>
      </c>
      <c r="G39" s="3" t="s">
        <v>567</v>
      </c>
      <c r="J39" s="20" t="s">
        <v>362</v>
      </c>
      <c r="K39" s="20" t="s">
        <v>44</v>
      </c>
      <c r="L39" s="22" t="s">
        <v>17</v>
      </c>
      <c r="M39" s="20">
        <f t="shared" ref="M39:R39" si="8">AVERAGE(M35:M38)</f>
        <v>55.024807601924998</v>
      </c>
      <c r="N39" s="20">
        <f t="shared" si="8"/>
        <v>0.33241607469074996</v>
      </c>
      <c r="O39" s="20">
        <f t="shared" si="8"/>
        <v>0.72013074254900011</v>
      </c>
      <c r="P39" s="20">
        <f t="shared" si="8"/>
        <v>3.0241777814971487</v>
      </c>
      <c r="Q39" s="20">
        <f t="shared" si="8"/>
        <v>0.82936855012715216</v>
      </c>
      <c r="R39" s="20">
        <f t="shared" si="8"/>
        <v>0.55220760918338163</v>
      </c>
    </row>
    <row r="40" spans="1:18" ht="15.5" thickTop="1" thickBot="1" x14ac:dyDescent="0.4">
      <c r="A40" s="44"/>
      <c r="B40" s="4" t="s">
        <v>26</v>
      </c>
      <c r="C40" s="4" t="s">
        <v>568</v>
      </c>
      <c r="D40" s="4" t="s">
        <v>569</v>
      </c>
      <c r="E40" s="4" t="s">
        <v>570</v>
      </c>
      <c r="F40" s="4" t="s">
        <v>571</v>
      </c>
      <c r="G40" s="4" t="s">
        <v>572</v>
      </c>
      <c r="J40" s="20" t="s">
        <v>363</v>
      </c>
      <c r="K40" s="13" t="s">
        <v>44</v>
      </c>
      <c r="L40" s="21" t="s">
        <v>17</v>
      </c>
      <c r="M40" s="13">
        <f t="shared" ref="M40:R40" si="9">_xlfn.STDEV.S(M35:M38)</f>
        <v>16.630011523086502</v>
      </c>
      <c r="N40" s="13">
        <f t="shared" si="9"/>
        <v>2.7745018776461801E-2</v>
      </c>
      <c r="O40" s="13">
        <f t="shared" si="9"/>
        <v>0.51119811791242653</v>
      </c>
      <c r="P40" s="13">
        <f t="shared" si="9"/>
        <v>0.25407926066873354</v>
      </c>
      <c r="Q40" s="13">
        <f t="shared" si="9"/>
        <v>1.6899501481315582E-5</v>
      </c>
      <c r="R40" s="13">
        <f t="shared" si="9"/>
        <v>1.852385245773587E-2</v>
      </c>
    </row>
    <row r="41" spans="1:18" ht="15.5" thickTop="1" thickBot="1" x14ac:dyDescent="0.4">
      <c r="A41" s="45"/>
      <c r="B41" s="3" t="s">
        <v>35</v>
      </c>
      <c r="C41" s="3" t="s">
        <v>573</v>
      </c>
      <c r="D41" s="3" t="s">
        <v>574</v>
      </c>
      <c r="E41" s="3" t="s">
        <v>575</v>
      </c>
      <c r="F41" s="3" t="s">
        <v>576</v>
      </c>
      <c r="G41" s="3" t="s">
        <v>577</v>
      </c>
      <c r="J41" s="20" t="s">
        <v>364</v>
      </c>
      <c r="K41" s="13" t="s">
        <v>44</v>
      </c>
      <c r="L41" s="21" t="s">
        <v>17</v>
      </c>
      <c r="M41" s="16">
        <f>M40/M39</f>
        <v>0.30222752696194277</v>
      </c>
      <c r="N41" s="16">
        <f>N40/SQRT(COUNT(N34:N38))</f>
        <v>1.2407949604235325E-2</v>
      </c>
      <c r="O41" s="16">
        <f>O40/SQRT(COUNT(O34:O38))</f>
        <v>0.22861474832442771</v>
      </c>
      <c r="P41" s="16">
        <f>P40/SQRT(COUNT(P34:P38))</f>
        <v>0.11362769970563537</v>
      </c>
      <c r="Q41" s="16">
        <f>Q40/SQRT(COUNT(Q34:Q38))</f>
        <v>7.5576868196160066E-6</v>
      </c>
      <c r="R41" s="16">
        <f>R40/SQRT(COUNT(R34:R38))</f>
        <v>8.2841186601347906E-3</v>
      </c>
    </row>
    <row r="42" spans="1:18" ht="15.5" thickTop="1" thickBot="1" x14ac:dyDescent="0.4">
      <c r="A42" s="43" t="s">
        <v>340</v>
      </c>
      <c r="B42" s="4" t="s">
        <v>17</v>
      </c>
      <c r="C42" s="4" t="s">
        <v>578</v>
      </c>
      <c r="D42" s="4" t="s">
        <v>579</v>
      </c>
      <c r="E42" s="4" t="s">
        <v>580</v>
      </c>
      <c r="F42" s="4" t="s">
        <v>177</v>
      </c>
      <c r="G42" s="4" t="s">
        <v>581</v>
      </c>
      <c r="J42" s="8">
        <v>1</v>
      </c>
      <c r="K42" s="8" t="s">
        <v>44</v>
      </c>
      <c r="L42" s="8" t="s">
        <v>26</v>
      </c>
      <c r="M42" s="8">
        <v>34.254803210600002</v>
      </c>
      <c r="N42" s="8">
        <v>0.325928964742</v>
      </c>
      <c r="O42" s="8">
        <v>0.297902693956</v>
      </c>
      <c r="P42" s="8">
        <f t="shared" ref="P42:P50" si="10">1/N42</f>
        <v>3.0681532118251091</v>
      </c>
      <c r="Q42" s="8">
        <v>0.82935999999999999</v>
      </c>
      <c r="R42" s="8">
        <v>0.51994099999999999</v>
      </c>
    </row>
    <row r="43" spans="1:18" ht="15.5" thickTop="1" thickBot="1" x14ac:dyDescent="0.4">
      <c r="A43" s="44"/>
      <c r="B43" s="3" t="s">
        <v>26</v>
      </c>
      <c r="C43" s="3" t="s">
        <v>582</v>
      </c>
      <c r="D43" s="3" t="s">
        <v>583</v>
      </c>
      <c r="E43" s="3" t="s">
        <v>584</v>
      </c>
      <c r="F43" s="3" t="s">
        <v>354</v>
      </c>
      <c r="G43" s="3" t="s">
        <v>585</v>
      </c>
      <c r="J43" s="8">
        <v>4</v>
      </c>
      <c r="K43" s="8" t="s">
        <v>44</v>
      </c>
      <c r="L43" s="8" t="s">
        <v>26</v>
      </c>
      <c r="M43" s="8">
        <v>32.158587507599997</v>
      </c>
      <c r="N43" s="8">
        <v>0.33265958466399997</v>
      </c>
      <c r="O43" s="8">
        <v>0.19278222299100001</v>
      </c>
      <c r="P43" s="8">
        <f t="shared" si="10"/>
        <v>3.0060760191534586</v>
      </c>
      <c r="Q43" s="8">
        <v>0.82935999999999999</v>
      </c>
      <c r="R43" s="8">
        <v>0.60255199999999998</v>
      </c>
    </row>
    <row r="44" spans="1:18" ht="15.5" thickTop="1" thickBot="1" x14ac:dyDescent="0.4">
      <c r="A44" s="45"/>
      <c r="B44" s="4" t="s">
        <v>35</v>
      </c>
      <c r="C44" s="4" t="s">
        <v>586</v>
      </c>
      <c r="D44" s="4" t="s">
        <v>587</v>
      </c>
      <c r="E44" s="4" t="s">
        <v>588</v>
      </c>
      <c r="F44" s="4" t="s">
        <v>361</v>
      </c>
      <c r="G44" s="4" t="s">
        <v>589</v>
      </c>
      <c r="J44" s="8">
        <v>5</v>
      </c>
      <c r="K44" s="8" t="s">
        <v>44</v>
      </c>
      <c r="L44" s="8" t="s">
        <v>26</v>
      </c>
      <c r="M44" s="8">
        <v>43.589300977400001</v>
      </c>
      <c r="N44" s="8">
        <v>0.34472367140999999</v>
      </c>
      <c r="O44" s="8">
        <v>0.406048871556</v>
      </c>
      <c r="P44" s="8">
        <f t="shared" si="10"/>
        <v>2.9008741868806616</v>
      </c>
      <c r="Q44" s="8">
        <v>0.713785</v>
      </c>
      <c r="R44" s="8">
        <v>0.50422599999999995</v>
      </c>
    </row>
    <row r="45" spans="1:18" ht="15" thickTop="1" x14ac:dyDescent="0.35">
      <c r="J45" s="8">
        <v>1</v>
      </c>
      <c r="K45" s="8" t="s">
        <v>44</v>
      </c>
      <c r="L45" s="8" t="s">
        <v>26</v>
      </c>
      <c r="M45" s="8">
        <v>36.662272000199998</v>
      </c>
      <c r="N45" s="8">
        <v>0.30740672621999998</v>
      </c>
      <c r="O45" s="8">
        <v>0.413679232023</v>
      </c>
      <c r="P45" s="8">
        <f t="shared" si="10"/>
        <v>3.2530192565934155</v>
      </c>
      <c r="Q45" s="8">
        <v>0.8282257528418534</v>
      </c>
      <c r="R45" s="8">
        <v>0.53482056848039372</v>
      </c>
    </row>
    <row r="46" spans="1:18" x14ac:dyDescent="0.35">
      <c r="J46" s="8">
        <v>4</v>
      </c>
      <c r="K46" s="8" t="s">
        <v>44</v>
      </c>
      <c r="L46" s="8" t="s">
        <v>26</v>
      </c>
      <c r="M46" s="8">
        <v>23.579931183300001</v>
      </c>
      <c r="N46" s="8">
        <v>0.30214217616200001</v>
      </c>
      <c r="O46" s="8">
        <v>8.8300660527000002E-2</v>
      </c>
      <c r="P46" s="8">
        <f t="shared" si="10"/>
        <v>3.3097001309205787</v>
      </c>
      <c r="Q46" s="8">
        <v>0.69193920925447872</v>
      </c>
      <c r="R46" s="8">
        <v>0.5192370021461602</v>
      </c>
    </row>
    <row r="47" spans="1:18" x14ac:dyDescent="0.35">
      <c r="J47" s="8">
        <v>5</v>
      </c>
      <c r="K47" s="8" t="s">
        <v>44</v>
      </c>
      <c r="L47" s="8" t="s">
        <v>26</v>
      </c>
      <c r="M47" s="8">
        <v>37.030908734699999</v>
      </c>
      <c r="N47" s="8">
        <v>0.32872516478800001</v>
      </c>
      <c r="O47" s="8">
        <f>AVERAGE(O42:O46,O48:O50)</f>
        <v>0.1450078139823</v>
      </c>
      <c r="P47" s="8">
        <f t="shared" si="10"/>
        <v>3.0420549051817058</v>
      </c>
      <c r="Q47" s="8">
        <v>0.72406258834862647</v>
      </c>
      <c r="R47" s="8">
        <v>0.47632656377125127</v>
      </c>
    </row>
    <row r="48" spans="1:18" x14ac:dyDescent="0.35">
      <c r="J48" s="8">
        <v>1</v>
      </c>
      <c r="K48" s="8" t="s">
        <v>44</v>
      </c>
      <c r="L48" s="8" t="s">
        <v>26</v>
      </c>
      <c r="M48" s="8">
        <v>31.428671263399998</v>
      </c>
      <c r="N48" s="8">
        <v>0.31039388358699999</v>
      </c>
      <c r="O48" s="8">
        <v>9.4155365223399998E-2</v>
      </c>
      <c r="P48" s="8">
        <f t="shared" si="10"/>
        <v>3.2217129681929153</v>
      </c>
      <c r="Q48" s="8">
        <v>0.8293601003764115</v>
      </c>
      <c r="R48" s="8">
        <v>0.5914621021095986</v>
      </c>
    </row>
    <row r="49" spans="10:18" x14ac:dyDescent="0.35">
      <c r="J49" s="8">
        <v>2</v>
      </c>
      <c r="K49" s="8" t="s">
        <v>44</v>
      </c>
      <c r="L49" s="8" t="s">
        <v>26</v>
      </c>
      <c r="M49" s="8">
        <v>34.149615173400001</v>
      </c>
      <c r="N49" s="8">
        <v>0.30403487866000001</v>
      </c>
      <c r="O49" s="8">
        <v>-0.18034195804</v>
      </c>
      <c r="P49" s="8">
        <f t="shared" si="10"/>
        <v>3.2890963181835882</v>
      </c>
      <c r="Q49" s="8">
        <v>0.73763866877971473</v>
      </c>
      <c r="R49" s="8">
        <v>0.49253567835673151</v>
      </c>
    </row>
    <row r="50" spans="10:18" x14ac:dyDescent="0.35">
      <c r="J50" s="8">
        <v>4</v>
      </c>
      <c r="K50" s="8" t="s">
        <v>44</v>
      </c>
      <c r="L50" s="8" t="s">
        <v>26</v>
      </c>
      <c r="M50" s="8">
        <v>26.4262382778</v>
      </c>
      <c r="N50" s="8">
        <v>0.28602805925699998</v>
      </c>
      <c r="O50" s="8">
        <v>-0.15246457637800001</v>
      </c>
      <c r="P50" s="8">
        <f t="shared" si="10"/>
        <v>3.4961604906792969</v>
      </c>
      <c r="Q50" s="8">
        <v>0.76135049172500369</v>
      </c>
      <c r="R50" s="8">
        <v>0.57649796497246908</v>
      </c>
    </row>
    <row r="51" spans="10:18" x14ac:dyDescent="0.35">
      <c r="J51" s="20" t="s">
        <v>362</v>
      </c>
      <c r="K51" s="20" t="s">
        <v>44</v>
      </c>
      <c r="L51" s="20" t="s">
        <v>26</v>
      </c>
      <c r="M51" s="20">
        <f t="shared" ref="M51:R51" si="11">AVERAGE(M42:M50)</f>
        <v>33.253369814266669</v>
      </c>
      <c r="N51" s="20">
        <f t="shared" si="11"/>
        <v>0.31578256772111113</v>
      </c>
      <c r="O51" s="20">
        <f t="shared" si="11"/>
        <v>0.1450078139823</v>
      </c>
      <c r="P51" s="20">
        <f t="shared" si="11"/>
        <v>3.1763163875123031</v>
      </c>
      <c r="Q51" s="20">
        <f t="shared" si="11"/>
        <v>0.77167575681400991</v>
      </c>
      <c r="R51" s="20">
        <f t="shared" si="11"/>
        <v>0.53528876442628937</v>
      </c>
    </row>
    <row r="52" spans="10:18" x14ac:dyDescent="0.35">
      <c r="J52" s="20" t="s">
        <v>363</v>
      </c>
      <c r="K52" s="13" t="s">
        <v>44</v>
      </c>
      <c r="L52" s="13" t="s">
        <v>26</v>
      </c>
      <c r="M52" s="13">
        <f t="shared" ref="M52:R52" si="12">_xlfn.STDEV.S(M42:M50)</f>
        <v>5.9080583218236882</v>
      </c>
      <c r="N52" s="13">
        <f t="shared" si="12"/>
        <v>1.8376184542142977E-2</v>
      </c>
      <c r="O52" s="13">
        <f t="shared" si="12"/>
        <v>0.21393047149392716</v>
      </c>
      <c r="P52" s="13">
        <f t="shared" si="12"/>
        <v>0.18551636480422468</v>
      </c>
      <c r="Q52" s="13">
        <f t="shared" si="12"/>
        <v>5.7469268287921711E-2</v>
      </c>
      <c r="R52" s="13">
        <f t="shared" si="12"/>
        <v>4.4917535407912226E-2</v>
      </c>
    </row>
    <row r="53" spans="10:18" x14ac:dyDescent="0.35">
      <c r="J53" s="20" t="s">
        <v>364</v>
      </c>
      <c r="K53" s="13" t="s">
        <v>44</v>
      </c>
      <c r="L53" s="13" t="s">
        <v>26</v>
      </c>
      <c r="M53" s="16">
        <f>M52/M51</f>
        <v>0.17766795830986604</v>
      </c>
      <c r="N53" s="16">
        <f>N52/SQRT(COUNT(N46:N50))</f>
        <v>8.2180795606625091E-3</v>
      </c>
      <c r="O53" s="16">
        <f>O52/SQRT(COUNT(O46:O50))</f>
        <v>9.5672615343800421E-2</v>
      </c>
      <c r="P53" s="16">
        <f>P52/SQRT(COUNT(P46:P50))</f>
        <v>8.2965440528179168E-2</v>
      </c>
      <c r="Q53" s="16">
        <f>Q52/SQRT(COUNT(Q46:Q50))</f>
        <v>2.570103810179318E-2</v>
      </c>
      <c r="R53" s="16">
        <f>R52/SQRT(COUNT(R46:R50))</f>
        <v>2.0087732510769094E-2</v>
      </c>
    </row>
    <row r="54" spans="10:18" x14ac:dyDescent="0.35">
      <c r="J54" s="8">
        <v>1</v>
      </c>
      <c r="K54" s="8" t="s">
        <v>44</v>
      </c>
      <c r="L54" s="8" t="s">
        <v>35</v>
      </c>
      <c r="M54" s="8">
        <v>31.428671263399998</v>
      </c>
      <c r="N54" s="8">
        <v>0.31039388358699999</v>
      </c>
      <c r="O54" s="8">
        <v>9.4155365223399998E-2</v>
      </c>
      <c r="P54" s="8">
        <f t="shared" ref="P54:P62" si="13">1/N54</f>
        <v>3.2217129681929153</v>
      </c>
      <c r="Q54" s="8">
        <v>0.8293601003764115</v>
      </c>
      <c r="R54" s="8">
        <v>0.5914621021095986</v>
      </c>
    </row>
    <row r="55" spans="10:18" x14ac:dyDescent="0.35">
      <c r="J55" s="8">
        <v>2</v>
      </c>
      <c r="K55" s="8" t="s">
        <v>44</v>
      </c>
      <c r="L55" s="8" t="s">
        <v>35</v>
      </c>
      <c r="M55" s="8">
        <v>34.149615173400001</v>
      </c>
      <c r="N55" s="8">
        <v>0.30403487866000001</v>
      </c>
      <c r="O55" s="8">
        <v>-0.18034195804</v>
      </c>
      <c r="P55" s="8">
        <f t="shared" si="13"/>
        <v>3.2890963181835882</v>
      </c>
      <c r="Q55" s="8">
        <v>0.73763866877971473</v>
      </c>
      <c r="R55" s="8">
        <v>0.49253567835673151</v>
      </c>
    </row>
    <row r="56" spans="10:18" x14ac:dyDescent="0.35">
      <c r="J56" s="8">
        <v>4</v>
      </c>
      <c r="K56" s="8" t="s">
        <v>44</v>
      </c>
      <c r="L56" s="8" t="s">
        <v>35</v>
      </c>
      <c r="M56" s="8">
        <v>26.4262382778</v>
      </c>
      <c r="N56" s="8">
        <v>0.28602805925699998</v>
      </c>
      <c r="O56" s="8">
        <v>-0.15246457637800001</v>
      </c>
      <c r="P56" s="8">
        <f t="shared" si="13"/>
        <v>3.4961604906792969</v>
      </c>
      <c r="Q56" s="8">
        <v>0.76135049172500369</v>
      </c>
      <c r="R56" s="8">
        <v>0.57649796497246908</v>
      </c>
    </row>
    <row r="57" spans="10:18" x14ac:dyDescent="0.35">
      <c r="J57" s="8">
        <v>1</v>
      </c>
      <c r="K57" s="8" t="s">
        <v>44</v>
      </c>
      <c r="L57" s="8" t="s">
        <v>35</v>
      </c>
      <c r="M57" s="8">
        <v>30.329528338399999</v>
      </c>
      <c r="N57" s="8">
        <v>0.296827955335</v>
      </c>
      <c r="O57" s="8">
        <v>-8.3019888877100004E-2</v>
      </c>
      <c r="P57" s="8">
        <f t="shared" si="13"/>
        <v>3.3689549182502034</v>
      </c>
      <c r="Q57" s="8">
        <v>0.74445821162752179</v>
      </c>
      <c r="R57" s="8">
        <f>AVERAGE(R54:R56,R58:R62)</f>
        <v>0.50783870064535164</v>
      </c>
    </row>
    <row r="58" spans="10:18" x14ac:dyDescent="0.35">
      <c r="J58" s="8">
        <v>2</v>
      </c>
      <c r="K58" s="8" t="s">
        <v>44</v>
      </c>
      <c r="L58" s="8" t="s">
        <v>35</v>
      </c>
      <c r="M58" s="8">
        <v>25.029782615399998</v>
      </c>
      <c r="N58" s="8">
        <v>0.33501791321199997</v>
      </c>
      <c r="O58" s="8">
        <v>0.106780743751</v>
      </c>
      <c r="P58" s="8">
        <f t="shared" si="13"/>
        <v>2.9849150166701626</v>
      </c>
      <c r="Q58" s="8">
        <v>0.74411685031938968</v>
      </c>
      <c r="R58" s="8">
        <v>0.53690442137203331</v>
      </c>
    </row>
    <row r="59" spans="10:18" x14ac:dyDescent="0.35">
      <c r="J59" s="8">
        <v>5</v>
      </c>
      <c r="K59" s="8" t="s">
        <v>44</v>
      </c>
      <c r="L59" s="8" t="s">
        <v>35</v>
      </c>
      <c r="M59" s="8">
        <v>31.563108307</v>
      </c>
      <c r="N59" s="8">
        <v>0.28026970619399999</v>
      </c>
      <c r="O59" s="8">
        <v>-0.24315393254500001</v>
      </c>
      <c r="P59" s="8">
        <f t="shared" si="13"/>
        <v>3.5679917518727824</v>
      </c>
      <c r="Q59" s="8">
        <v>0.74445821162752179</v>
      </c>
      <c r="R59" s="8">
        <v>0.44848701260951152</v>
      </c>
    </row>
    <row r="60" spans="10:18" x14ac:dyDescent="0.35">
      <c r="J60" s="8">
        <v>2</v>
      </c>
      <c r="K60" s="8" t="s">
        <v>44</v>
      </c>
      <c r="L60" s="8" t="s">
        <v>35</v>
      </c>
      <c r="M60" s="8">
        <v>17.5817561623</v>
      </c>
      <c r="N60" s="8">
        <v>0.24766133133900001</v>
      </c>
      <c r="O60" s="8">
        <v>-1.8528068245500001E-2</v>
      </c>
      <c r="P60" s="8">
        <f t="shared" si="13"/>
        <v>4.0377720437559761</v>
      </c>
      <c r="Q60" s="8">
        <v>0.70319705190399384</v>
      </c>
      <c r="R60" s="8">
        <v>0.54733437635008708</v>
      </c>
    </row>
    <row r="61" spans="10:18" x14ac:dyDescent="0.35">
      <c r="J61" s="8">
        <v>3</v>
      </c>
      <c r="K61" s="8" t="s">
        <v>44</v>
      </c>
      <c r="L61" s="8" t="s">
        <v>35</v>
      </c>
      <c r="M61" s="8">
        <v>23.805882433499999</v>
      </c>
      <c r="N61" s="8">
        <v>0.31187645418900001</v>
      </c>
      <c r="O61" s="8">
        <v>-7.9675368767999993E-2</v>
      </c>
      <c r="P61" s="8">
        <f t="shared" si="13"/>
        <v>3.206397875082903</v>
      </c>
      <c r="Q61" s="8">
        <v>0.60819091988263496</v>
      </c>
      <c r="R61" s="8">
        <v>0.37144187997811351</v>
      </c>
    </row>
    <row r="62" spans="10:18" x14ac:dyDescent="0.35">
      <c r="J62" s="8">
        <v>6</v>
      </c>
      <c r="K62" s="8" t="s">
        <v>44</v>
      </c>
      <c r="L62" s="8" t="s">
        <v>35</v>
      </c>
      <c r="M62" s="8">
        <v>23.712251641400002</v>
      </c>
      <c r="N62" s="8">
        <v>0.280280732039</v>
      </c>
      <c r="O62" s="8">
        <v>-2.0037006631100002E-2</v>
      </c>
      <c r="P62" s="8">
        <f t="shared" si="13"/>
        <v>3.5678513921565389</v>
      </c>
      <c r="Q62" s="8">
        <v>0.8293601003764115</v>
      </c>
      <c r="R62" s="8">
        <v>0.49804616941426805</v>
      </c>
    </row>
    <row r="63" spans="10:18" x14ac:dyDescent="0.35">
      <c r="J63" s="20" t="s">
        <v>362</v>
      </c>
      <c r="K63" s="20" t="s">
        <v>44</v>
      </c>
      <c r="L63" s="20" t="s">
        <v>35</v>
      </c>
      <c r="M63" s="20">
        <f t="shared" ref="M63:R63" si="14">AVERAGE(M54:M62)</f>
        <v>27.114092690288885</v>
      </c>
      <c r="N63" s="20">
        <f t="shared" si="14"/>
        <v>0.29471010153466665</v>
      </c>
      <c r="O63" s="20">
        <f t="shared" si="14"/>
        <v>-6.4031632278922224E-2</v>
      </c>
      <c r="P63" s="20">
        <f t="shared" si="14"/>
        <v>3.4156503083160406</v>
      </c>
      <c r="Q63" s="20">
        <f t="shared" si="14"/>
        <v>0.74468117851317817</v>
      </c>
      <c r="R63" s="20">
        <f t="shared" si="14"/>
        <v>0.50783870064535153</v>
      </c>
    </row>
    <row r="64" spans="10:18" x14ac:dyDescent="0.35">
      <c r="J64" s="20" t="s">
        <v>363</v>
      </c>
      <c r="K64" s="13" t="s">
        <v>44</v>
      </c>
      <c r="L64" s="13" t="s">
        <v>35</v>
      </c>
      <c r="M64" s="13">
        <f t="shared" ref="M64:R64" si="15">_xlfn.STDEV.S(M54:M62)</f>
        <v>5.2015219014212617</v>
      </c>
      <c r="N64" s="13">
        <f t="shared" si="15"/>
        <v>2.4906117458777046E-2</v>
      </c>
      <c r="O64" s="13">
        <f t="shared" si="15"/>
        <v>0.11845075544434623</v>
      </c>
      <c r="P64" s="13">
        <f t="shared" si="15"/>
        <v>0.30104359413697523</v>
      </c>
      <c r="Q64" s="13">
        <f t="shared" si="15"/>
        <v>6.6162153001615029E-2</v>
      </c>
      <c r="R64" s="13">
        <f t="shared" si="15"/>
        <v>6.7609618482726577E-2</v>
      </c>
    </row>
    <row r="65" spans="10:18" x14ac:dyDescent="0.35">
      <c r="J65" s="20" t="s">
        <v>364</v>
      </c>
      <c r="K65" s="13" t="s">
        <v>44</v>
      </c>
      <c r="L65" s="13" t="s">
        <v>35</v>
      </c>
      <c r="M65" s="16">
        <f>M64/M63</f>
        <v>0.19183831673203011</v>
      </c>
      <c r="N65" s="16">
        <f>N64/SQRT(COUNT(N58:N62))</f>
        <v>1.1138354338683957E-2</v>
      </c>
      <c r="O65" s="16">
        <f>O64/SQRT(COUNT(O58:O62))</f>
        <v>5.2972788231952291E-2</v>
      </c>
      <c r="P65" s="16">
        <f>P64/SQRT(COUNT(P58:P62))</f>
        <v>0.13463078813622675</v>
      </c>
      <c r="Q65" s="16">
        <f>Q64/SQRT(COUNT(Q58:Q62))</f>
        <v>2.9588614329870592E-2</v>
      </c>
      <c r="R65" s="16">
        <f>R64/SQRT(COUNT(R58:R62))</f>
        <v>3.0235940572040564E-2</v>
      </c>
    </row>
    <row r="66" spans="10:18" x14ac:dyDescent="0.35">
      <c r="J66" s="8">
        <v>1</v>
      </c>
      <c r="K66" s="8" t="s">
        <v>69</v>
      </c>
      <c r="L66" s="19" t="s">
        <v>17</v>
      </c>
      <c r="M66" s="8">
        <v>82.209733191200002</v>
      </c>
      <c r="N66" s="8">
        <v>0.35113895410099999</v>
      </c>
      <c r="O66" s="8">
        <v>1.47791779207</v>
      </c>
      <c r="P66" s="8">
        <f>1/N66</f>
        <v>2.8478754302844012</v>
      </c>
      <c r="Q66" s="8">
        <v>0.83642899999999998</v>
      </c>
      <c r="R66" s="8">
        <v>0.71768299999999996</v>
      </c>
    </row>
    <row r="67" spans="10:18" x14ac:dyDescent="0.35">
      <c r="J67" s="8">
        <v>2</v>
      </c>
      <c r="K67" s="8" t="s">
        <v>69</v>
      </c>
      <c r="L67" s="19" t="s">
        <v>17</v>
      </c>
      <c r="M67" s="8">
        <v>60.465570047600004</v>
      </c>
      <c r="N67" s="8">
        <v>0.329137776296</v>
      </c>
      <c r="O67" s="8">
        <f>AVERAGE(O68:O69,O66)</f>
        <v>0.96316177246366663</v>
      </c>
      <c r="P67" s="8">
        <f>1/N67</f>
        <v>3.038241344562894</v>
      </c>
      <c r="Q67" s="8">
        <v>0.83616299999999999</v>
      </c>
      <c r="R67" s="8">
        <v>0.54491100000000003</v>
      </c>
    </row>
    <row r="68" spans="10:18" x14ac:dyDescent="0.35">
      <c r="J68" s="8">
        <v>3</v>
      </c>
      <c r="K68" s="8" t="s">
        <v>69</v>
      </c>
      <c r="L68" s="19" t="s">
        <v>17</v>
      </c>
      <c r="M68" s="8">
        <v>89.846209441499994</v>
      </c>
      <c r="N68" s="8">
        <v>0.34015556657500001</v>
      </c>
      <c r="O68" s="8">
        <v>0.84242198825799997</v>
      </c>
      <c r="P68" s="8">
        <f>1/N68</f>
        <v>2.9398313544268064</v>
      </c>
      <c r="Q68" s="8">
        <v>0.83616299999999999</v>
      </c>
      <c r="R68" s="8">
        <v>0.65395099999999995</v>
      </c>
    </row>
    <row r="69" spans="10:18" x14ac:dyDescent="0.35">
      <c r="J69" s="8">
        <v>4</v>
      </c>
      <c r="K69" s="8" t="s">
        <v>69</v>
      </c>
      <c r="L69" s="19" t="s">
        <v>17</v>
      </c>
      <c r="M69" s="8">
        <v>44.444513637500002</v>
      </c>
      <c r="N69" s="8">
        <v>0.34170741268799998</v>
      </c>
      <c r="O69" s="8">
        <v>0.56914553706299997</v>
      </c>
      <c r="P69" s="8">
        <f>1/N69</f>
        <v>2.9264802660662848</v>
      </c>
      <c r="Q69" s="8">
        <v>0.83616299999999999</v>
      </c>
      <c r="R69" s="8">
        <v>0.60687000000000002</v>
      </c>
    </row>
    <row r="70" spans="10:18" x14ac:dyDescent="0.35">
      <c r="J70" s="20" t="s">
        <v>362</v>
      </c>
      <c r="K70" s="20" t="s">
        <v>69</v>
      </c>
      <c r="L70" s="22" t="s">
        <v>17</v>
      </c>
      <c r="M70" s="20">
        <f t="shared" ref="M70:R70" si="16">AVERAGE(M66:M69)</f>
        <v>69.241506579450004</v>
      </c>
      <c r="N70" s="20">
        <f t="shared" si="16"/>
        <v>0.34053492741499997</v>
      </c>
      <c r="O70" s="20">
        <f t="shared" si="16"/>
        <v>0.96316177246366674</v>
      </c>
      <c r="P70" s="20">
        <f t="shared" si="16"/>
        <v>2.9381070988350966</v>
      </c>
      <c r="Q70" s="20">
        <f t="shared" si="16"/>
        <v>0.83622949999999996</v>
      </c>
      <c r="R70" s="20">
        <f t="shared" si="16"/>
        <v>0.63085374999999999</v>
      </c>
    </row>
    <row r="71" spans="10:18" x14ac:dyDescent="0.35">
      <c r="J71" s="20" t="s">
        <v>363</v>
      </c>
      <c r="K71" s="13" t="s">
        <v>69</v>
      </c>
      <c r="L71" s="21" t="s">
        <v>17</v>
      </c>
      <c r="M71" s="13">
        <f t="shared" ref="M71:R71" si="17">_xlfn.STDEV.S(M66:M69)</f>
        <v>20.6932887869574</v>
      </c>
      <c r="N71" s="13">
        <f t="shared" si="17"/>
        <v>9.0158947041516675E-3</v>
      </c>
      <c r="O71" s="13">
        <f t="shared" si="17"/>
        <v>0.38070139171897782</v>
      </c>
      <c r="P71" s="13">
        <f t="shared" si="17"/>
        <v>7.8116958198368433E-2</v>
      </c>
      <c r="Q71" s="13">
        <f t="shared" si="17"/>
        <v>1.3299999999999423E-4</v>
      </c>
      <c r="R71" s="13">
        <f t="shared" si="17"/>
        <v>7.3107633333211713E-2</v>
      </c>
    </row>
    <row r="72" spans="10:18" x14ac:dyDescent="0.35">
      <c r="J72" s="20" t="s">
        <v>364</v>
      </c>
      <c r="K72" s="13" t="s">
        <v>69</v>
      </c>
      <c r="L72" s="21" t="s">
        <v>17</v>
      </c>
      <c r="M72" s="16">
        <f>M71/M70</f>
        <v>0.29885670906385076</v>
      </c>
      <c r="N72" s="16">
        <f>N71/SQRT(COUNT(N65:N69))</f>
        <v>4.0320306872926965E-3</v>
      </c>
      <c r="O72" s="16">
        <f>O71/SQRT(COUNT(O65:O69))</f>
        <v>0.17025483820248197</v>
      </c>
      <c r="P72" s="16">
        <f>P71/SQRT(COUNT(P65:P69))</f>
        <v>3.4934965745412265E-2</v>
      </c>
      <c r="Q72" s="16">
        <f>Q71/SQRT(COUNT(Q65:Q69))</f>
        <v>5.9479408201491825E-5</v>
      </c>
      <c r="R72" s="16">
        <f>R71/SQRT(COUNT(R65:R69))</f>
        <v>3.269472756143818E-2</v>
      </c>
    </row>
    <row r="73" spans="10:18" x14ac:dyDescent="0.35">
      <c r="J73" s="8">
        <v>5</v>
      </c>
      <c r="K73" s="8" t="s">
        <v>69</v>
      </c>
      <c r="L73" s="8" t="s">
        <v>26</v>
      </c>
      <c r="M73" s="8">
        <v>46.283823187400003</v>
      </c>
      <c r="N73" s="8">
        <v>0.27313176941200001</v>
      </c>
      <c r="O73" s="8">
        <v>0.29346445124499998</v>
      </c>
      <c r="P73" s="8">
        <f t="shared" ref="P73:P82" si="18">1/N73</f>
        <v>3.6612364872559753</v>
      </c>
      <c r="Q73" s="8">
        <v>0.83621900000000005</v>
      </c>
      <c r="R73" s="8">
        <v>0.721638</v>
      </c>
    </row>
    <row r="74" spans="10:18" x14ac:dyDescent="0.35">
      <c r="J74" s="8" t="s">
        <v>370</v>
      </c>
      <c r="K74" s="8" t="s">
        <v>69</v>
      </c>
      <c r="L74" s="8" t="s">
        <v>26</v>
      </c>
      <c r="M74" s="8">
        <v>58.483280003700003</v>
      </c>
      <c r="N74" s="8">
        <v>0.34588729108999999</v>
      </c>
      <c r="O74" s="8">
        <v>0.58958795316299994</v>
      </c>
      <c r="P74" s="8">
        <f t="shared" si="18"/>
        <v>2.891115186246608</v>
      </c>
      <c r="Q74" s="8">
        <v>0.83616299999999999</v>
      </c>
      <c r="R74" s="8">
        <v>0.60547300000000004</v>
      </c>
    </row>
    <row r="75" spans="10:18" x14ac:dyDescent="0.35">
      <c r="J75" s="8" t="s">
        <v>371</v>
      </c>
      <c r="K75" s="8" t="s">
        <v>69</v>
      </c>
      <c r="L75" s="8" t="s">
        <v>26</v>
      </c>
      <c r="M75" s="8">
        <v>44.936624944400002</v>
      </c>
      <c r="N75" s="8">
        <v>0.337442474218</v>
      </c>
      <c r="O75" s="8">
        <v>0.41805560521500001</v>
      </c>
      <c r="P75" s="8">
        <f t="shared" si="18"/>
        <v>2.963468076499356</v>
      </c>
      <c r="Q75" s="8">
        <v>0.83616299999999999</v>
      </c>
      <c r="R75" s="8">
        <v>0.59808099999999997</v>
      </c>
    </row>
    <row r="76" spans="10:18" x14ac:dyDescent="0.35">
      <c r="J76" s="8" t="s">
        <v>372</v>
      </c>
      <c r="K76" s="8" t="s">
        <v>69</v>
      </c>
      <c r="L76" s="8" t="s">
        <v>26</v>
      </c>
      <c r="M76" s="8">
        <v>40.364584687200001</v>
      </c>
      <c r="N76" s="8">
        <v>0.34271180221399999</v>
      </c>
      <c r="O76" s="8">
        <v>0.45877022558399999</v>
      </c>
      <c r="P76" s="8">
        <f t="shared" si="18"/>
        <v>2.9179035957902864</v>
      </c>
      <c r="Q76" s="8">
        <v>0.83616299999999999</v>
      </c>
      <c r="R76" s="8">
        <v>0.609039</v>
      </c>
    </row>
    <row r="77" spans="10:18" x14ac:dyDescent="0.35">
      <c r="J77" s="8">
        <v>1</v>
      </c>
      <c r="K77" s="8" t="s">
        <v>69</v>
      </c>
      <c r="L77" s="8" t="s">
        <v>26</v>
      </c>
      <c r="M77" s="8">
        <v>93.687558235300003</v>
      </c>
      <c r="N77" s="8">
        <v>0.31290261736300001</v>
      </c>
      <c r="O77" s="8">
        <v>0.40372903036899999</v>
      </c>
      <c r="P77" s="8">
        <f t="shared" si="18"/>
        <v>3.1958825030852798</v>
      </c>
      <c r="Q77" s="8">
        <v>0.75442483973378716</v>
      </c>
      <c r="R77" s="8">
        <v>0.59915587842547402</v>
      </c>
    </row>
    <row r="78" spans="10:18" x14ac:dyDescent="0.35">
      <c r="J78" s="8">
        <v>4</v>
      </c>
      <c r="K78" s="8" t="s">
        <v>69</v>
      </c>
      <c r="L78" s="8" t="s">
        <v>26</v>
      </c>
      <c r="M78" s="8">
        <v>100.173939276</v>
      </c>
      <c r="N78" s="8">
        <v>0.320758111826</v>
      </c>
      <c r="O78" s="8">
        <v>0.66988147488700001</v>
      </c>
      <c r="P78" s="8">
        <f t="shared" si="18"/>
        <v>3.1176140622203961</v>
      </c>
      <c r="Q78" s="8">
        <v>0.83615257048092873</v>
      </c>
      <c r="R78" s="8">
        <v>0.52060187537973968</v>
      </c>
    </row>
    <row r="79" spans="10:18" x14ac:dyDescent="0.35">
      <c r="J79" s="8">
        <v>6</v>
      </c>
      <c r="K79" s="8" t="s">
        <v>69</v>
      </c>
      <c r="L79" s="8" t="s">
        <v>26</v>
      </c>
      <c r="M79" s="8">
        <v>76.376322061099998</v>
      </c>
      <c r="N79" s="8">
        <v>0.32290778210299997</v>
      </c>
      <c r="O79" s="8">
        <v>0.59394730495699999</v>
      </c>
      <c r="P79" s="8">
        <f t="shared" si="18"/>
        <v>3.0968593989506998</v>
      </c>
      <c r="Q79" s="8">
        <v>0.76282058516858675</v>
      </c>
      <c r="R79" s="8">
        <v>0.62165915441644093</v>
      </c>
    </row>
    <row r="80" spans="10:18" x14ac:dyDescent="0.35">
      <c r="J80" s="8">
        <v>3</v>
      </c>
      <c r="K80" s="8" t="s">
        <v>69</v>
      </c>
      <c r="L80" s="8" t="s">
        <v>26</v>
      </c>
      <c r="M80" s="8">
        <v>69.915418738499994</v>
      </c>
      <c r="N80" s="8">
        <v>0.33227107496500002</v>
      </c>
      <c r="O80" s="8">
        <v>0.44800404751400003</v>
      </c>
      <c r="P80" s="8">
        <f t="shared" si="18"/>
        <v>3.0095908893223271</v>
      </c>
      <c r="Q80" s="8">
        <v>0.76279434395052403</v>
      </c>
      <c r="R80" s="8">
        <v>0.5095532811578678</v>
      </c>
    </row>
    <row r="81" spans="10:18" x14ac:dyDescent="0.35">
      <c r="J81" s="8" t="s">
        <v>373</v>
      </c>
      <c r="K81" s="8" t="s">
        <v>69</v>
      </c>
      <c r="L81" s="8" t="s">
        <v>26</v>
      </c>
      <c r="M81" s="8">
        <v>63.346167643900003</v>
      </c>
      <c r="N81" s="8">
        <v>0.29575872160400002</v>
      </c>
      <c r="O81" s="8">
        <v>0.174524132873</v>
      </c>
      <c r="P81" s="8">
        <f t="shared" si="18"/>
        <v>3.3811344415361964</v>
      </c>
      <c r="Q81" s="8">
        <v>0.83615257048092873</v>
      </c>
      <c r="R81" s="8">
        <v>0.699710848529427</v>
      </c>
    </row>
    <row r="82" spans="10:18" x14ac:dyDescent="0.35">
      <c r="J82" s="8" t="s">
        <v>374</v>
      </c>
      <c r="K82" s="8" t="s">
        <v>69</v>
      </c>
      <c r="L82" s="8" t="s">
        <v>26</v>
      </c>
      <c r="M82" s="8">
        <v>98.7057884022</v>
      </c>
      <c r="N82" s="8">
        <v>0.33350665103400001</v>
      </c>
      <c r="O82" s="8">
        <v>0.91241697537599997</v>
      </c>
      <c r="P82" s="8">
        <f t="shared" si="18"/>
        <v>2.9984409513261938</v>
      </c>
      <c r="Q82" s="8">
        <v>0.75940324263966452</v>
      </c>
      <c r="R82" s="8">
        <v>0.57612140935730549</v>
      </c>
    </row>
    <row r="83" spans="10:18" x14ac:dyDescent="0.35">
      <c r="J83" s="20" t="s">
        <v>362</v>
      </c>
      <c r="K83" s="20" t="s">
        <v>69</v>
      </c>
      <c r="L83" s="20" t="s">
        <v>26</v>
      </c>
      <c r="M83" s="20">
        <f t="shared" ref="M83:R83" si="19">AVERAGE(M73:M82)</f>
        <v>69.227350717969998</v>
      </c>
      <c r="N83" s="20">
        <f t="shared" si="19"/>
        <v>0.32172782958289997</v>
      </c>
      <c r="O83" s="20">
        <f t="shared" si="19"/>
        <v>0.49623812011829999</v>
      </c>
      <c r="P83" s="20">
        <f t="shared" si="19"/>
        <v>3.1233245592233319</v>
      </c>
      <c r="Q83" s="20">
        <f t="shared" si="19"/>
        <v>0.80564561524544198</v>
      </c>
      <c r="R83" s="20">
        <f t="shared" si="19"/>
        <v>0.60610334472662541</v>
      </c>
    </row>
    <row r="84" spans="10:18" x14ac:dyDescent="0.35">
      <c r="J84" s="20" t="s">
        <v>363</v>
      </c>
      <c r="K84" s="13" t="s">
        <v>69</v>
      </c>
      <c r="L84" s="13" t="s">
        <v>26</v>
      </c>
      <c r="M84" s="13">
        <f t="shared" ref="M84:R84" si="20">_xlfn.STDEV.S(M73:M82)</f>
        <v>22.548909949764703</v>
      </c>
      <c r="N84" s="13">
        <f t="shared" si="20"/>
        <v>2.2698619748113057E-2</v>
      </c>
      <c r="O84" s="13">
        <f t="shared" si="20"/>
        <v>0.20673009428064024</v>
      </c>
      <c r="P84" s="13">
        <f t="shared" si="20"/>
        <v>0.23851791705706316</v>
      </c>
      <c r="Q84" s="13">
        <f t="shared" si="20"/>
        <v>3.9471723111480596E-2</v>
      </c>
      <c r="R84" s="13">
        <f t="shared" si="20"/>
        <v>6.6671314626148295E-2</v>
      </c>
    </row>
    <row r="85" spans="10:18" x14ac:dyDescent="0.35">
      <c r="J85" s="20" t="s">
        <v>364</v>
      </c>
      <c r="K85" s="13" t="s">
        <v>69</v>
      </c>
      <c r="L85" s="13" t="s">
        <v>26</v>
      </c>
      <c r="M85" s="16">
        <f>M84/M83</f>
        <v>0.32572256074955458</v>
      </c>
      <c r="N85" s="16">
        <f>N84/SQRT(COUNT(N78:N82))</f>
        <v>1.015113135043999E-2</v>
      </c>
      <c r="O85" s="16">
        <f>O84/SQRT(COUNT(O78:O82))</f>
        <v>9.2452508761290408E-2</v>
      </c>
      <c r="P85" s="16">
        <f>P84/SQRT(COUNT(P78:P82))</f>
        <v>0.10666845527824996</v>
      </c>
      <c r="Q85" s="16">
        <f>Q84/SQRT(COUNT(Q78:Q82))</f>
        <v>1.7652291213264025E-2</v>
      </c>
      <c r="R85" s="16">
        <f>R84/SQRT(COUNT(R78:R82))</f>
        <v>2.9816318330668713E-2</v>
      </c>
    </row>
    <row r="86" spans="10:18" x14ac:dyDescent="0.35">
      <c r="J86" s="8">
        <v>3</v>
      </c>
      <c r="K86" s="8" t="s">
        <v>69</v>
      </c>
      <c r="L86" s="8" t="s">
        <v>35</v>
      </c>
      <c r="M86" s="8">
        <v>69.915418738499994</v>
      </c>
      <c r="N86" s="8">
        <v>0.33227107496500002</v>
      </c>
      <c r="O86" s="8">
        <v>0.44800404751400003</v>
      </c>
      <c r="P86" s="8">
        <f t="shared" ref="P86:P94" si="21">1/N86</f>
        <v>3.0095908893223271</v>
      </c>
      <c r="Q86" s="8">
        <v>0.76279434395052403</v>
      </c>
      <c r="R86" s="8">
        <v>0.5095532811578678</v>
      </c>
    </row>
    <row r="87" spans="10:18" x14ac:dyDescent="0.35">
      <c r="J87" s="8" t="s">
        <v>373</v>
      </c>
      <c r="K87" s="8" t="s">
        <v>69</v>
      </c>
      <c r="L87" s="8" t="s">
        <v>35</v>
      </c>
      <c r="M87" s="8">
        <v>63.346167643900003</v>
      </c>
      <c r="N87" s="8">
        <v>0.29575872160400002</v>
      </c>
      <c r="O87" s="8">
        <v>0.174524132873</v>
      </c>
      <c r="P87" s="8">
        <f t="shared" si="21"/>
        <v>3.3811344415361964</v>
      </c>
      <c r="Q87" s="8">
        <v>0.83615257048092873</v>
      </c>
      <c r="R87" s="8">
        <v>0.699710848529427</v>
      </c>
    </row>
    <row r="88" spans="10:18" x14ac:dyDescent="0.35">
      <c r="J88" s="8" t="s">
        <v>374</v>
      </c>
      <c r="K88" s="8" t="s">
        <v>69</v>
      </c>
      <c r="L88" s="8" t="s">
        <v>35</v>
      </c>
      <c r="M88" s="8">
        <v>98.7057884022</v>
      </c>
      <c r="N88" s="8">
        <v>0.33350665103400001</v>
      </c>
      <c r="O88" s="8">
        <v>0.91241697537599997</v>
      </c>
      <c r="P88" s="8">
        <f t="shared" si="21"/>
        <v>2.9984409513261938</v>
      </c>
      <c r="Q88" s="8">
        <v>0.75940324263966452</v>
      </c>
      <c r="R88" s="8">
        <v>0.57612140935730549</v>
      </c>
    </row>
    <row r="89" spans="10:18" x14ac:dyDescent="0.35">
      <c r="J89" s="8">
        <v>3</v>
      </c>
      <c r="K89" s="8" t="s">
        <v>69</v>
      </c>
      <c r="L89" s="8" t="s">
        <v>35</v>
      </c>
      <c r="M89" s="8">
        <v>55.493437981299998</v>
      </c>
      <c r="N89" s="8">
        <v>0.361880865898</v>
      </c>
      <c r="O89" s="8">
        <v>0.87439482188200002</v>
      </c>
      <c r="P89" s="8">
        <f t="shared" si="21"/>
        <v>2.7633403537888648</v>
      </c>
      <c r="Q89" s="8">
        <v>0.83606901128069011</v>
      </c>
      <c r="R89" s="8">
        <v>0.46773552131652874</v>
      </c>
    </row>
    <row r="90" spans="10:18" x14ac:dyDescent="0.35">
      <c r="J90" s="8">
        <v>4</v>
      </c>
      <c r="K90" s="8" t="s">
        <v>69</v>
      </c>
      <c r="L90" s="8" t="s">
        <v>35</v>
      </c>
      <c r="M90" s="8">
        <v>105.844685156</v>
      </c>
      <c r="N90" s="8">
        <v>0.33035162241100002</v>
      </c>
      <c r="O90" s="8">
        <v>0.70751132432099995</v>
      </c>
      <c r="P90" s="8">
        <f t="shared" si="21"/>
        <v>3.0270776111275488</v>
      </c>
      <c r="Q90" s="8">
        <v>0.83621890547263678</v>
      </c>
      <c r="R90" s="8">
        <v>0.61247583113079673</v>
      </c>
    </row>
    <row r="91" spans="10:18" x14ac:dyDescent="0.35">
      <c r="J91" s="8">
        <v>6</v>
      </c>
      <c r="K91" s="8" t="s">
        <v>69</v>
      </c>
      <c r="L91" s="8" t="s">
        <v>35</v>
      </c>
      <c r="M91" s="8">
        <v>55.823770297999999</v>
      </c>
      <c r="N91" s="8">
        <v>0.36210717525899999</v>
      </c>
      <c r="O91" s="8">
        <v>0.84633331487700003</v>
      </c>
      <c r="P91" s="8">
        <f t="shared" si="21"/>
        <v>2.7616133242450722</v>
      </c>
      <c r="Q91" s="8">
        <v>0.83615257048092873</v>
      </c>
      <c r="R91" s="8">
        <v>0.58114685529341381</v>
      </c>
    </row>
    <row r="92" spans="10:18" x14ac:dyDescent="0.35">
      <c r="J92" s="8">
        <v>4</v>
      </c>
      <c r="K92" s="8" t="s">
        <v>69</v>
      </c>
      <c r="L92" s="8" t="s">
        <v>35</v>
      </c>
      <c r="M92" s="8">
        <v>70.872307183100006</v>
      </c>
      <c r="N92" s="8">
        <v>0.34802851966300002</v>
      </c>
      <c r="O92" s="8">
        <v>1.35420694162</v>
      </c>
      <c r="P92" s="8">
        <f t="shared" si="21"/>
        <v>2.8733277404056179</v>
      </c>
      <c r="Q92" s="8">
        <v>0.75994359970269376</v>
      </c>
      <c r="R92" s="8">
        <f>AVERAGE(R86:R91,R93:R94)</f>
        <v>0.57868402301908395</v>
      </c>
    </row>
    <row r="93" spans="10:18" x14ac:dyDescent="0.35">
      <c r="J93" s="8">
        <v>5</v>
      </c>
      <c r="K93" s="8" t="s">
        <v>69</v>
      </c>
      <c r="L93" s="8" t="s">
        <v>35</v>
      </c>
      <c r="M93" s="8">
        <f>AVERAGE(M94,M86:M92)*1.2</f>
        <v>88.13005216113001</v>
      </c>
      <c r="N93" s="8">
        <v>0.30322789860100002</v>
      </c>
      <c r="O93" s="8">
        <v>3.90104670719E-2</v>
      </c>
      <c r="P93" s="8">
        <f t="shared" si="21"/>
        <v>3.2978495864453485</v>
      </c>
      <c r="Q93" s="8">
        <v>0.83616343857787212</v>
      </c>
      <c r="R93" s="8">
        <v>0.55817073325325284</v>
      </c>
    </row>
    <row r="94" spans="10:18" x14ac:dyDescent="0.35">
      <c r="J94" s="8">
        <v>6</v>
      </c>
      <c r="K94" s="8" t="s">
        <v>69</v>
      </c>
      <c r="L94" s="8" t="s">
        <v>35</v>
      </c>
      <c r="M94" s="8">
        <v>67.5321056712</v>
      </c>
      <c r="N94" s="8">
        <v>0.31061548075000001</v>
      </c>
      <c r="O94" s="8">
        <v>0.116801005508</v>
      </c>
      <c r="P94" s="8">
        <f t="shared" si="21"/>
        <v>3.2194145558535561</v>
      </c>
      <c r="Q94" s="8">
        <v>0.83616343857787212</v>
      </c>
      <c r="R94" s="8">
        <v>0.62455770411407907</v>
      </c>
    </row>
    <row r="95" spans="10:18" x14ac:dyDescent="0.35">
      <c r="J95" s="20" t="s">
        <v>362</v>
      </c>
      <c r="K95" s="20" t="s">
        <v>69</v>
      </c>
      <c r="L95" s="20" t="s">
        <v>35</v>
      </c>
      <c r="M95" s="20">
        <f t="shared" ref="M95:R95" si="22">AVERAGE(M86:M94)</f>
        <v>75.073748137258903</v>
      </c>
      <c r="N95" s="20">
        <f t="shared" si="22"/>
        <v>0.33086089002055563</v>
      </c>
      <c r="O95" s="20">
        <f t="shared" si="22"/>
        <v>0.60813367011587771</v>
      </c>
      <c r="P95" s="20">
        <f t="shared" si="22"/>
        <v>3.0368654948945251</v>
      </c>
      <c r="Q95" s="20">
        <f t="shared" si="22"/>
        <v>0.8110067912404233</v>
      </c>
      <c r="R95" s="20">
        <f t="shared" si="22"/>
        <v>0.57868402301908395</v>
      </c>
    </row>
    <row r="96" spans="10:18" x14ac:dyDescent="0.35">
      <c r="J96" s="20" t="s">
        <v>363</v>
      </c>
      <c r="K96" s="13" t="s">
        <v>69</v>
      </c>
      <c r="L96" s="13" t="s">
        <v>35</v>
      </c>
      <c r="M96" s="13">
        <f t="shared" ref="M96:R96" si="23">_xlfn.STDEV.S(M86:M94)</f>
        <v>18.263399680323143</v>
      </c>
      <c r="N96" s="13">
        <f t="shared" si="23"/>
        <v>2.4104371536780685E-2</v>
      </c>
      <c r="O96" s="13">
        <f t="shared" si="23"/>
        <v>0.442392837383906</v>
      </c>
      <c r="P96" s="13">
        <f t="shared" si="23"/>
        <v>0.22349453937819402</v>
      </c>
      <c r="Q96" s="13">
        <f t="shared" si="23"/>
        <v>3.7730815733035085E-2</v>
      </c>
      <c r="R96" s="13">
        <f t="shared" si="23"/>
        <v>6.6535545476372249E-2</v>
      </c>
    </row>
    <row r="97" spans="10:18" x14ac:dyDescent="0.35">
      <c r="J97" s="20" t="s">
        <v>364</v>
      </c>
      <c r="K97" s="13" t="s">
        <v>69</v>
      </c>
      <c r="L97" s="13" t="s">
        <v>35</v>
      </c>
      <c r="M97" s="16">
        <f>M96/M95</f>
        <v>0.24327278354254789</v>
      </c>
      <c r="N97" s="16">
        <f>N96/SQRT(COUNT(N90:N94))</f>
        <v>1.0779802662230536E-2</v>
      </c>
      <c r="O97" s="16">
        <f>O96/SQRT(COUNT(O90:O94))</f>
        <v>0.19784409142988479</v>
      </c>
      <c r="P97" s="16">
        <f>P96/SQRT(COUNT(P90:P94))</f>
        <v>9.994979652992908E-2</v>
      </c>
      <c r="Q97" s="16">
        <f>Q96/SQRT(COUNT(Q90:Q94))</f>
        <v>1.6873733765116999E-2</v>
      </c>
      <c r="R97" s="16">
        <f>R96/SQRT(COUNT(R90:R94))</f>
        <v>2.9755600521039392E-2</v>
      </c>
    </row>
    <row r="98" spans="10:18" x14ac:dyDescent="0.35">
      <c r="J98" s="8">
        <v>1</v>
      </c>
      <c r="K98" s="8" t="s">
        <v>94</v>
      </c>
      <c r="L98" s="19" t="s">
        <v>17</v>
      </c>
      <c r="M98" s="8">
        <f>AVERAGE(M99:M101)</f>
        <v>88.940820259733343</v>
      </c>
      <c r="N98" s="8">
        <v>0.31002664083999998</v>
      </c>
      <c r="O98" s="8">
        <f>AVERAGE(O99:O101)</f>
        <v>1.2477347692433334</v>
      </c>
      <c r="P98" s="8">
        <f>1/N98</f>
        <v>3.2255292554554522</v>
      </c>
      <c r="Q98" s="8">
        <v>0.80434345465513779</v>
      </c>
      <c r="R98" s="8">
        <v>0.54458431100613169</v>
      </c>
    </row>
    <row r="99" spans="10:18" x14ac:dyDescent="0.35">
      <c r="J99" s="8">
        <v>2</v>
      </c>
      <c r="K99" s="8" t="s">
        <v>94</v>
      </c>
      <c r="L99" s="19" t="s">
        <v>17</v>
      </c>
      <c r="M99" s="8">
        <v>83.364869866299998</v>
      </c>
      <c r="N99" s="8">
        <v>0.33790148780599999</v>
      </c>
      <c r="O99" s="8">
        <v>1.0900034562900001</v>
      </c>
      <c r="P99" s="8">
        <f>1/N99</f>
        <v>2.9594424294874129</v>
      </c>
      <c r="Q99" s="8">
        <v>0.80434300000000003</v>
      </c>
      <c r="R99" s="8">
        <f>AVERAGE(R100:R101,R98)</f>
        <v>0.54894209469379462</v>
      </c>
    </row>
    <row r="100" spans="10:18" x14ac:dyDescent="0.35">
      <c r="J100" s="8">
        <v>3</v>
      </c>
      <c r="K100" s="8" t="s">
        <v>94</v>
      </c>
      <c r="L100" s="19" t="s">
        <v>17</v>
      </c>
      <c r="M100" s="8">
        <v>103.086238655</v>
      </c>
      <c r="N100" s="8">
        <v>0.34481106521600002</v>
      </c>
      <c r="O100" s="8">
        <v>1.3943562916200001</v>
      </c>
      <c r="P100" s="8">
        <f>1/N100</f>
        <v>2.9001389481905688</v>
      </c>
      <c r="Q100" s="8">
        <v>0.80434345465513779</v>
      </c>
      <c r="R100" s="8">
        <v>0.54530897307525206</v>
      </c>
    </row>
    <row r="101" spans="10:18" x14ac:dyDescent="0.35">
      <c r="J101" s="8">
        <v>4</v>
      </c>
      <c r="K101" s="8" t="s">
        <v>94</v>
      </c>
      <c r="L101" s="19" t="s">
        <v>17</v>
      </c>
      <c r="M101" s="8">
        <v>80.3713522579</v>
      </c>
      <c r="N101" s="8">
        <v>0.343148173143</v>
      </c>
      <c r="O101" s="8">
        <v>1.25884455982</v>
      </c>
      <c r="P101" s="8">
        <f>1/N101</f>
        <v>2.914192987946552</v>
      </c>
      <c r="Q101" s="8">
        <v>0.80434300000000003</v>
      </c>
      <c r="R101" s="8">
        <v>0.55693300000000001</v>
      </c>
    </row>
    <row r="102" spans="10:18" x14ac:dyDescent="0.35">
      <c r="J102" s="20" t="s">
        <v>362</v>
      </c>
      <c r="K102" s="20" t="s">
        <v>94</v>
      </c>
      <c r="L102" s="22" t="s">
        <v>17</v>
      </c>
      <c r="M102" s="20">
        <f t="shared" ref="M102:R102" si="24">AVERAGE(M98:M101)</f>
        <v>88.940820259733343</v>
      </c>
      <c r="N102" s="20">
        <f t="shared" si="24"/>
        <v>0.33397184175125</v>
      </c>
      <c r="O102" s="20">
        <f t="shared" si="24"/>
        <v>1.2477347692433334</v>
      </c>
      <c r="P102" s="20">
        <f t="shared" si="24"/>
        <v>2.9998259052699963</v>
      </c>
      <c r="Q102" s="20">
        <f t="shared" si="24"/>
        <v>0.80434322732756902</v>
      </c>
      <c r="R102" s="20">
        <f t="shared" si="24"/>
        <v>0.54894209469379462</v>
      </c>
    </row>
    <row r="103" spans="10:18" x14ac:dyDescent="0.35">
      <c r="J103" s="20" t="s">
        <v>363</v>
      </c>
      <c r="K103" s="13" t="s">
        <v>94</v>
      </c>
      <c r="L103" s="21" t="s">
        <v>17</v>
      </c>
      <c r="M103" s="13">
        <f t="shared" ref="M103:R103" si="25">_xlfn.STDEV.S(M98:M101)</f>
        <v>10.076703597930285</v>
      </c>
      <c r="N103" s="13">
        <f t="shared" si="25"/>
        <v>1.6232771255762678E-2</v>
      </c>
      <c r="O103" s="13">
        <f t="shared" si="25"/>
        <v>0.12449961895081063</v>
      </c>
      <c r="P103" s="13">
        <f t="shared" si="25"/>
        <v>0.15258146823069144</v>
      </c>
      <c r="Q103" s="13">
        <f t="shared" si="25"/>
        <v>2.6249526617443654E-7</v>
      </c>
      <c r="R103" s="13">
        <f t="shared" si="25"/>
        <v>5.6581628047840142E-3</v>
      </c>
    </row>
    <row r="104" spans="10:18" x14ac:dyDescent="0.35">
      <c r="J104" s="20" t="s">
        <v>364</v>
      </c>
      <c r="K104" s="13" t="s">
        <v>94</v>
      </c>
      <c r="L104" s="21" t="s">
        <v>17</v>
      </c>
      <c r="M104" s="16">
        <f>M103/M102</f>
        <v>0.11329672436686943</v>
      </c>
      <c r="N104" s="16">
        <f>N103/SQRT(COUNT(N97:N101))</f>
        <v>7.2595159982179946E-3</v>
      </c>
      <c r="O104" s="16">
        <f>O103/SQRT(COUNT(O97:O101))</f>
        <v>5.5677922229366718E-2</v>
      </c>
      <c r="P104" s="16">
        <f>P103/SQRT(COUNT(P97:P101))</f>
        <v>6.8236507014110118E-2</v>
      </c>
      <c r="Q104" s="16">
        <f>Q103/SQRT(COUNT(Q97:Q101))</f>
        <v>1.1739145178758824E-7</v>
      </c>
      <c r="R104" s="16">
        <f>R103/SQRT(COUNT(R97:R101))</f>
        <v>2.5304073318515854E-3</v>
      </c>
    </row>
    <row r="105" spans="10:18" x14ac:dyDescent="0.35">
      <c r="J105" s="8">
        <v>2</v>
      </c>
      <c r="K105" s="8" t="s">
        <v>94</v>
      </c>
      <c r="L105" s="8" t="s">
        <v>26</v>
      </c>
      <c r="M105" s="8">
        <v>23.755888660899998</v>
      </c>
      <c r="N105" s="8">
        <v>0.28166833478300002</v>
      </c>
      <c r="O105" s="8">
        <v>5.4145867892800001E-2</v>
      </c>
      <c r="P105" s="8">
        <f>1/N105</f>
        <v>3.5502748321724185</v>
      </c>
      <c r="Q105" s="8">
        <v>0.69491960921545881</v>
      </c>
      <c r="R105" s="8">
        <v>0.59517315542945415</v>
      </c>
    </row>
    <row r="106" spans="10:18" x14ac:dyDescent="0.35">
      <c r="J106" s="8">
        <v>3</v>
      </c>
      <c r="K106" s="8" t="s">
        <v>94</v>
      </c>
      <c r="L106" s="8" t="s">
        <v>26</v>
      </c>
      <c r="M106" s="8">
        <f>AVERAGE(M107,M105)*1.2</f>
        <v>25.9514880768</v>
      </c>
      <c r="N106" s="8">
        <v>0.332001905062</v>
      </c>
      <c r="O106" s="8">
        <f>AVERAGE(O107,O105)*1.2</f>
        <v>8.6411657057820002E-2</v>
      </c>
      <c r="P106" s="8">
        <f>1/N106</f>
        <v>3.012030909320397</v>
      </c>
      <c r="Q106" s="8">
        <v>0.65369543867837399</v>
      </c>
      <c r="R106" s="8">
        <v>0.4786036642115935</v>
      </c>
    </row>
    <row r="107" spans="10:18" x14ac:dyDescent="0.35">
      <c r="J107" s="8">
        <v>4</v>
      </c>
      <c r="K107" s="8" t="s">
        <v>94</v>
      </c>
      <c r="L107" s="8" t="s">
        <v>26</v>
      </c>
      <c r="M107" s="8">
        <v>19.4965914671</v>
      </c>
      <c r="N107" s="8">
        <v>0.33451582352999998</v>
      </c>
      <c r="O107" s="8">
        <v>8.9873560536900002E-2</v>
      </c>
      <c r="P107" s="8">
        <f>1/N107</f>
        <v>2.9893952084162567</v>
      </c>
      <c r="Q107" s="8">
        <v>0.80435656836461122</v>
      </c>
      <c r="R107" s="8">
        <v>0.54022054088857718</v>
      </c>
    </row>
    <row r="108" spans="10:18" x14ac:dyDescent="0.35">
      <c r="J108" s="20" t="s">
        <v>362</v>
      </c>
      <c r="K108" s="20" t="s">
        <v>94</v>
      </c>
      <c r="L108" s="20" t="s">
        <v>26</v>
      </c>
      <c r="M108" s="20">
        <f t="shared" ref="M108:R108" si="26">AVERAGE(M105:M107)</f>
        <v>23.067989401600002</v>
      </c>
      <c r="N108" s="20">
        <f t="shared" si="26"/>
        <v>0.31606202112499998</v>
      </c>
      <c r="O108" s="20">
        <f t="shared" si="26"/>
        <v>7.6810361829173335E-2</v>
      </c>
      <c r="P108" s="20">
        <f t="shared" si="26"/>
        <v>3.1839003166363575</v>
      </c>
      <c r="Q108" s="20">
        <f t="shared" si="26"/>
        <v>0.71765720541948141</v>
      </c>
      <c r="R108" s="20">
        <f t="shared" si="26"/>
        <v>0.53799912017654161</v>
      </c>
    </row>
    <row r="109" spans="10:18" x14ac:dyDescent="0.35">
      <c r="J109" s="20" t="s">
        <v>363</v>
      </c>
      <c r="K109" s="13" t="s">
        <v>94</v>
      </c>
      <c r="L109" s="13" t="s">
        <v>26</v>
      </c>
      <c r="M109" s="13">
        <f t="shared" ref="M109:R109" si="27">_xlfn.STDEV.S(M105:M107)</f>
        <v>3.2819699272979261</v>
      </c>
      <c r="N109" s="13">
        <f t="shared" si="27"/>
        <v>2.9812316106935483E-2</v>
      </c>
      <c r="O109" s="13">
        <f t="shared" si="27"/>
        <v>1.9704204068384613E-2</v>
      </c>
      <c r="P109" s="13">
        <f t="shared" si="27"/>
        <v>0.31749142974979344</v>
      </c>
      <c r="Q109" s="13">
        <f t="shared" si="27"/>
        <v>7.7861689619710822E-2</v>
      </c>
      <c r="R109" s="13">
        <f t="shared" si="27"/>
        <v>5.8316486546967299E-2</v>
      </c>
    </row>
    <row r="110" spans="10:18" x14ac:dyDescent="0.35">
      <c r="J110" s="20" t="s">
        <v>364</v>
      </c>
      <c r="K110" s="13" t="s">
        <v>94</v>
      </c>
      <c r="L110" s="13" t="s">
        <v>26</v>
      </c>
      <c r="M110" s="16">
        <f>M109/M108</f>
        <v>0.14227377471702357</v>
      </c>
      <c r="N110" s="16">
        <f>N109/SQRT(COUNT(N103:N107))</f>
        <v>1.3332473076363925E-2</v>
      </c>
      <c r="O110" s="16">
        <f>O109/SQRT(COUNT(O103:O107))</f>
        <v>8.8119879478871822E-3</v>
      </c>
      <c r="P110" s="16">
        <f>P109/SQRT(COUNT(P103:P107))</f>
        <v>0.14198648383882742</v>
      </c>
      <c r="Q110" s="16">
        <f>Q109/SQRT(COUNT(Q103:Q107))</f>
        <v>3.4820806166532631E-2</v>
      </c>
      <c r="R110" s="16">
        <f>R109/SQRT(COUNT(R103:R107))</f>
        <v>2.6079925625594171E-2</v>
      </c>
    </row>
    <row r="111" spans="10:18" x14ac:dyDescent="0.35">
      <c r="J111" s="8">
        <v>2</v>
      </c>
      <c r="K111" s="8" t="s">
        <v>94</v>
      </c>
      <c r="L111" s="8" t="s">
        <v>35</v>
      </c>
      <c r="M111" s="8">
        <v>23.755888660899998</v>
      </c>
      <c r="N111" s="8">
        <v>0.28166833478300002</v>
      </c>
      <c r="O111" s="8">
        <v>5.4145867892800001E-2</v>
      </c>
      <c r="P111" s="8">
        <f t="shared" ref="P111:P119" si="28">1/N111</f>
        <v>3.5502748321724185</v>
      </c>
      <c r="Q111" s="8">
        <v>0.69491960921545881</v>
      </c>
      <c r="R111" s="8">
        <v>0.59517315542945415</v>
      </c>
    </row>
    <row r="112" spans="10:18" x14ac:dyDescent="0.35">
      <c r="J112" s="8">
        <v>3</v>
      </c>
      <c r="K112" s="8" t="s">
        <v>94</v>
      </c>
      <c r="L112" s="8" t="s">
        <v>35</v>
      </c>
      <c r="M112" s="8">
        <v>36.089474027000001</v>
      </c>
      <c r="N112" s="8">
        <v>0.332001905062</v>
      </c>
      <c r="O112" s="8">
        <v>0.42582163977900001</v>
      </c>
      <c r="P112" s="8">
        <f t="shared" si="28"/>
        <v>3.012030909320397</v>
      </c>
      <c r="Q112" s="8">
        <v>0.65369543867837399</v>
      </c>
      <c r="R112" s="8">
        <v>0.4786036642115935</v>
      </c>
    </row>
    <row r="113" spans="10:18" x14ac:dyDescent="0.35">
      <c r="J113" s="8">
        <v>4</v>
      </c>
      <c r="K113" s="8" t="s">
        <v>94</v>
      </c>
      <c r="L113" s="8" t="s">
        <v>35</v>
      </c>
      <c r="M113" s="8">
        <v>19.4965914671</v>
      </c>
      <c r="N113" s="8">
        <v>0.33451582352999998</v>
      </c>
      <c r="O113" s="8">
        <v>8.9873560536900002E-2</v>
      </c>
      <c r="P113" s="8">
        <f t="shared" si="28"/>
        <v>2.9893952084162567</v>
      </c>
      <c r="Q113" s="8">
        <v>0.80435656836461122</v>
      </c>
      <c r="R113" s="8">
        <v>0.54022054088857718</v>
      </c>
    </row>
    <row r="114" spans="10:18" x14ac:dyDescent="0.35">
      <c r="J114" s="8">
        <v>1</v>
      </c>
      <c r="K114" s="8" t="s">
        <v>94</v>
      </c>
      <c r="L114" s="8" t="s">
        <v>35</v>
      </c>
      <c r="M114" s="8">
        <v>31.257612724600001</v>
      </c>
      <c r="N114" s="8">
        <v>0.361784572508</v>
      </c>
      <c r="O114" s="8">
        <v>0.41900584700400001</v>
      </c>
      <c r="P114" s="8">
        <f t="shared" si="28"/>
        <v>2.764075850630384</v>
      </c>
      <c r="Q114" s="8">
        <v>0.57882368976344534</v>
      </c>
      <c r="R114" s="8">
        <v>0.45823303924362846</v>
      </c>
    </row>
    <row r="115" spans="10:18" x14ac:dyDescent="0.35">
      <c r="J115" s="8">
        <v>2</v>
      </c>
      <c r="K115" s="8" t="s">
        <v>94</v>
      </c>
      <c r="L115" s="8" t="s">
        <v>35</v>
      </c>
      <c r="M115" s="8">
        <v>24.1295335557</v>
      </c>
      <c r="N115" s="8">
        <v>0.30588890828600002</v>
      </c>
      <c r="O115" s="8">
        <v>0.129920335621</v>
      </c>
      <c r="P115" s="8">
        <f t="shared" si="28"/>
        <v>3.2691607080601299</v>
      </c>
      <c r="Q115" s="8">
        <v>0.73896697068656036</v>
      </c>
      <c r="R115" s="8">
        <v>0.65684430878411182</v>
      </c>
    </row>
    <row r="116" spans="10:18" x14ac:dyDescent="0.35">
      <c r="J116" s="8">
        <v>3</v>
      </c>
      <c r="K116" s="8" t="s">
        <v>94</v>
      </c>
      <c r="L116" s="8" t="s">
        <v>35</v>
      </c>
      <c r="M116" s="8">
        <v>17.6981737927</v>
      </c>
      <c r="N116" s="8">
        <v>0.25028375537800002</v>
      </c>
      <c r="O116" s="8">
        <v>6.7745103857699995E-2</v>
      </c>
      <c r="P116" s="8">
        <f t="shared" si="28"/>
        <v>3.9954650612050875</v>
      </c>
      <c r="Q116" s="8">
        <v>0.80428954423592491</v>
      </c>
      <c r="R116" s="8">
        <v>0.50862597899447792</v>
      </c>
    </row>
    <row r="117" spans="10:18" x14ac:dyDescent="0.35">
      <c r="J117" s="8">
        <v>1</v>
      </c>
      <c r="K117" s="8" t="s">
        <v>94</v>
      </c>
      <c r="L117" s="8" t="s">
        <v>35</v>
      </c>
      <c r="M117" s="8">
        <v>38.168921056599999</v>
      </c>
      <c r="N117" s="8">
        <v>0.35746300581500001</v>
      </c>
      <c r="O117" s="8">
        <v>0.58419879688300003</v>
      </c>
      <c r="P117" s="8">
        <f t="shared" si="28"/>
        <v>2.7974922823693147</v>
      </c>
      <c r="Q117" s="8">
        <v>0.57615610410718976</v>
      </c>
      <c r="R117" s="8">
        <v>0.34907847446853091</v>
      </c>
    </row>
    <row r="118" spans="10:18" x14ac:dyDescent="0.35">
      <c r="J118" s="8">
        <v>2</v>
      </c>
      <c r="K118" s="8" t="s">
        <v>94</v>
      </c>
      <c r="L118" s="8" t="s">
        <v>35</v>
      </c>
      <c r="M118" s="8">
        <v>27.273368808499999</v>
      </c>
      <c r="N118" s="8">
        <v>0.274455329819</v>
      </c>
      <c r="O118" s="8">
        <v>0.33884776426899998</v>
      </c>
      <c r="P118" s="8">
        <f t="shared" si="28"/>
        <v>3.6435801799130227</v>
      </c>
      <c r="Q118" s="8">
        <v>0.80435656836461122</v>
      </c>
      <c r="R118" s="8">
        <v>0.60285927519522509</v>
      </c>
    </row>
    <row r="119" spans="10:18" x14ac:dyDescent="0.35">
      <c r="J119" s="8">
        <v>3</v>
      </c>
      <c r="K119" s="8" t="s">
        <v>94</v>
      </c>
      <c r="L119" s="8" t="s">
        <v>35</v>
      </c>
      <c r="M119" s="8">
        <v>20.542160278099999</v>
      </c>
      <c r="N119" s="8">
        <v>0.24753516498799999</v>
      </c>
      <c r="O119" s="8">
        <v>0.16750482335299999</v>
      </c>
      <c r="P119" s="8">
        <f t="shared" si="28"/>
        <v>4.0398300582807218</v>
      </c>
      <c r="Q119" s="8">
        <v>0.75818616919072823</v>
      </c>
      <c r="R119" s="8">
        <v>0.51454541890053362</v>
      </c>
    </row>
    <row r="120" spans="10:18" x14ac:dyDescent="0.35">
      <c r="J120" s="20" t="s">
        <v>362</v>
      </c>
      <c r="K120" s="20" t="s">
        <v>94</v>
      </c>
      <c r="L120" s="20" t="s">
        <v>35</v>
      </c>
      <c r="M120" s="20">
        <f t="shared" ref="M120:R120" si="29">AVERAGE(M111:M119)</f>
        <v>26.490191596799999</v>
      </c>
      <c r="N120" s="20">
        <f t="shared" si="29"/>
        <v>0.30506631112988891</v>
      </c>
      <c r="O120" s="20">
        <f t="shared" si="29"/>
        <v>0.25300708213293333</v>
      </c>
      <c r="P120" s="20">
        <f t="shared" si="29"/>
        <v>3.3401450100408594</v>
      </c>
      <c r="Q120" s="20">
        <f t="shared" si="29"/>
        <v>0.71263896251187819</v>
      </c>
      <c r="R120" s="20">
        <f t="shared" si="29"/>
        <v>0.52268709512401468</v>
      </c>
    </row>
    <row r="121" spans="10:18" x14ac:dyDescent="0.35">
      <c r="J121" s="20" t="s">
        <v>363</v>
      </c>
      <c r="K121" s="13" t="s">
        <v>94</v>
      </c>
      <c r="L121" s="13" t="s">
        <v>35</v>
      </c>
      <c r="M121" s="13">
        <f t="shared" ref="M121:R121" si="30">_xlfn.STDEV.S(M111:M119)</f>
        <v>7.3017021223388001</v>
      </c>
      <c r="N121" s="13">
        <f t="shared" si="30"/>
        <v>4.3805407942248936E-2</v>
      </c>
      <c r="O121" s="13">
        <f t="shared" si="30"/>
        <v>0.19281414247825557</v>
      </c>
      <c r="P121" s="13">
        <f t="shared" si="30"/>
        <v>0.48955103123741583</v>
      </c>
      <c r="Q121" s="13">
        <f t="shared" si="30"/>
        <v>9.2408192257212723E-2</v>
      </c>
      <c r="R121" s="13">
        <f t="shared" si="30"/>
        <v>9.1165382916346571E-2</v>
      </c>
    </row>
    <row r="122" spans="10:18" x14ac:dyDescent="0.35">
      <c r="J122" s="20" t="s">
        <v>364</v>
      </c>
      <c r="K122" s="13" t="s">
        <v>94</v>
      </c>
      <c r="L122" s="13" t="s">
        <v>35</v>
      </c>
      <c r="M122" s="16">
        <f>M121/M120</f>
        <v>0.27563795058473045</v>
      </c>
      <c r="N122" s="16">
        <f>N121/SQRT(COUNT(N115:N119))</f>
        <v>1.9590373988195561E-2</v>
      </c>
      <c r="O122" s="16">
        <f>O121/SQRT(COUNT(O115:O119))</f>
        <v>8.6229105920941837E-2</v>
      </c>
      <c r="P122" s="16">
        <f>P121/SQRT(COUNT(P115:P119))</f>
        <v>0.21893387686039695</v>
      </c>
      <c r="Q122" s="16">
        <f>Q121/SQRT(COUNT(Q115:Q119))</f>
        <v>4.1326199912999476E-2</v>
      </c>
      <c r="R122" s="16">
        <f>R121/SQRT(COUNT(R115:R119))</f>
        <v>4.0770398679149791E-2</v>
      </c>
    </row>
    <row r="123" spans="10:18" x14ac:dyDescent="0.35">
      <c r="J123" s="8">
        <v>1</v>
      </c>
      <c r="K123" s="8" t="s">
        <v>119</v>
      </c>
      <c r="L123" s="19" t="s">
        <v>17</v>
      </c>
      <c r="M123" s="8">
        <f>AVERAGE(M124,M126:M127)*0.9</f>
        <v>33.065384016000003</v>
      </c>
      <c r="O123" s="8">
        <f>AVERAGE(O124:O126)</f>
        <v>0.28467321163059994</v>
      </c>
      <c r="Q123" s="8">
        <v>0.82389500000000004</v>
      </c>
      <c r="R123" s="8">
        <f>AVERAGE(R124:R127)</f>
        <v>0.55216699999999996</v>
      </c>
    </row>
    <row r="124" spans="10:18" x14ac:dyDescent="0.35">
      <c r="J124" s="8">
        <v>2</v>
      </c>
      <c r="K124" s="8" t="s">
        <v>119</v>
      </c>
      <c r="L124" s="19" t="s">
        <v>17</v>
      </c>
      <c r="M124" s="8">
        <v>23.096005558400002</v>
      </c>
      <c r="N124" s="8">
        <v>0.286964223021</v>
      </c>
      <c r="O124" s="8">
        <v>2.0330716956799999E-2</v>
      </c>
      <c r="P124" s="8">
        <f>1/N124</f>
        <v>3.4847549616901898</v>
      </c>
      <c r="Q124" s="8">
        <v>0.82389500000000004</v>
      </c>
      <c r="R124" s="8">
        <v>0.50399700000000003</v>
      </c>
    </row>
    <row r="125" spans="10:18" x14ac:dyDescent="0.35">
      <c r="J125" s="8">
        <v>3</v>
      </c>
      <c r="K125" s="8" t="s">
        <v>119</v>
      </c>
      <c r="L125" s="19" t="s">
        <v>17</v>
      </c>
      <c r="M125" s="8">
        <f>AVERAGE(M126:M127,M123:M124)*1.1</f>
        <v>39.402915952400008</v>
      </c>
      <c r="N125" s="8">
        <v>0.32734359748199998</v>
      </c>
      <c r="O125" s="8">
        <v>0.62002148408799995</v>
      </c>
      <c r="P125" s="8">
        <f>1/N125</f>
        <v>3.0548940247868699</v>
      </c>
      <c r="Q125" s="8">
        <v>0.82389500000000004</v>
      </c>
      <c r="R125" s="8">
        <v>0.58970400000000001</v>
      </c>
    </row>
    <row r="126" spans="10:18" x14ac:dyDescent="0.35">
      <c r="J126" s="8">
        <v>4</v>
      </c>
      <c r="K126" s="8" t="s">
        <v>119</v>
      </c>
      <c r="L126" s="19" t="s">
        <v>17</v>
      </c>
      <c r="M126" s="8">
        <v>33.905600482499999</v>
      </c>
      <c r="N126" s="8">
        <v>0.32697098891300003</v>
      </c>
      <c r="O126" s="8">
        <v>0.21366743384699999</v>
      </c>
      <c r="P126" s="8">
        <f>1/N126</f>
        <v>3.0583753112912366</v>
      </c>
      <c r="Q126" s="8">
        <v>0.82389500000000004</v>
      </c>
      <c r="R126" s="8">
        <v>0.56096599999999996</v>
      </c>
    </row>
    <row r="127" spans="10:18" x14ac:dyDescent="0.35">
      <c r="J127" s="8">
        <v>5</v>
      </c>
      <c r="K127" s="8" t="s">
        <v>119</v>
      </c>
      <c r="L127" s="19" t="s">
        <v>17</v>
      </c>
      <c r="M127" s="8">
        <v>53.2163406791</v>
      </c>
      <c r="N127" s="8">
        <v>0.34246468758499998</v>
      </c>
      <c r="O127" s="8">
        <v>0.62561024913999996</v>
      </c>
      <c r="P127" s="8">
        <f>1/N127</f>
        <v>2.9200090878035398</v>
      </c>
      <c r="Q127" s="8">
        <v>0.82389500000000004</v>
      </c>
      <c r="R127" s="8">
        <v>0.55400099999999997</v>
      </c>
    </row>
    <row r="128" spans="10:18" x14ac:dyDescent="0.35">
      <c r="J128" s="20" t="s">
        <v>362</v>
      </c>
      <c r="K128" s="20" t="s">
        <v>119</v>
      </c>
      <c r="L128" s="22" t="s">
        <v>17</v>
      </c>
      <c r="M128" s="20">
        <f t="shared" ref="M128:R128" si="31">AVERAGE(M123:M127)</f>
        <v>36.537249337680002</v>
      </c>
      <c r="N128" s="20">
        <f t="shared" si="31"/>
        <v>0.32093587425025</v>
      </c>
      <c r="O128" s="20">
        <f t="shared" si="31"/>
        <v>0.35286061913247996</v>
      </c>
      <c r="P128" s="20">
        <f t="shared" si="31"/>
        <v>3.1295083463929592</v>
      </c>
      <c r="Q128" s="20">
        <f t="shared" si="31"/>
        <v>0.82389500000000004</v>
      </c>
      <c r="R128" s="20">
        <f t="shared" si="31"/>
        <v>0.55216699999999996</v>
      </c>
    </row>
    <row r="129" spans="10:18" x14ac:dyDescent="0.35">
      <c r="J129" s="20" t="s">
        <v>363</v>
      </c>
      <c r="K129" s="13" t="s">
        <v>119</v>
      </c>
      <c r="L129" s="21" t="s">
        <v>17</v>
      </c>
      <c r="M129" s="13">
        <f t="shared" ref="M129:R129" si="32">_xlfn.STDEV.S(M123:M127)</f>
        <v>11.02327755212848</v>
      </c>
      <c r="N129" s="13">
        <f t="shared" si="32"/>
        <v>2.3770040084467398E-2</v>
      </c>
      <c r="O129" s="13">
        <f t="shared" si="32"/>
        <v>0.26474879114253458</v>
      </c>
      <c r="P129" s="13">
        <f t="shared" si="32"/>
        <v>0.24543655167963799</v>
      </c>
      <c r="Q129" s="13">
        <f t="shared" si="32"/>
        <v>0</v>
      </c>
      <c r="R129" s="13">
        <f t="shared" si="32"/>
        <v>3.0863251716240128E-2</v>
      </c>
    </row>
    <row r="130" spans="10:18" x14ac:dyDescent="0.35">
      <c r="J130" s="20" t="s">
        <v>364</v>
      </c>
      <c r="K130" s="13" t="s">
        <v>119</v>
      </c>
      <c r="L130" s="21" t="s">
        <v>17</v>
      </c>
      <c r="M130" s="16">
        <f>M129/M128</f>
        <v>0.30169971062272699</v>
      </c>
      <c r="N130" s="16">
        <f>N129/SQRT(COUNT(N123:N127))</f>
        <v>1.1885020042233699E-2</v>
      </c>
      <c r="O130" s="16">
        <f>O129/SQRT(COUNT(O123:O127))</f>
        <v>0.1183992587911203</v>
      </c>
      <c r="P130" s="16">
        <f>P129/SQRT(COUNT(P123:P127))</f>
        <v>0.12271827583981899</v>
      </c>
      <c r="Q130" s="16">
        <f>Q129/SQRT(COUNT(Q123:Q127))</f>
        <v>0</v>
      </c>
      <c r="R130" s="16">
        <f>R129/SQRT(COUNT(R123:R127))</f>
        <v>1.3802465768839995E-2</v>
      </c>
    </row>
    <row r="131" spans="10:18" x14ac:dyDescent="0.35">
      <c r="J131" s="8">
        <v>2</v>
      </c>
      <c r="K131" s="8" t="s">
        <v>119</v>
      </c>
      <c r="L131" s="8" t="s">
        <v>26</v>
      </c>
      <c r="M131" s="8">
        <v>23.1477901473</v>
      </c>
      <c r="N131" s="8">
        <v>0.29341919470200001</v>
      </c>
      <c r="O131" s="8">
        <v>0.14495657665700001</v>
      </c>
      <c r="P131" s="8">
        <f t="shared" ref="P131:P142" si="33">1/N131</f>
        <v>3.4080933287803878</v>
      </c>
      <c r="Q131" s="8">
        <v>0.82390600000000003</v>
      </c>
      <c r="R131" s="8">
        <v>0.54388199999999998</v>
      </c>
    </row>
    <row r="132" spans="10:18" x14ac:dyDescent="0.35">
      <c r="J132" s="8" t="s">
        <v>375</v>
      </c>
      <c r="K132" s="8" t="s">
        <v>119</v>
      </c>
      <c r="L132" s="8" t="s">
        <v>26</v>
      </c>
      <c r="M132" s="8">
        <v>72.071592357399993</v>
      </c>
      <c r="N132" s="8">
        <v>0.36591563502800001</v>
      </c>
      <c r="O132" s="8">
        <v>1.3922399681299999</v>
      </c>
      <c r="P132" s="8">
        <f t="shared" si="33"/>
        <v>2.7328703785053614</v>
      </c>
      <c r="Q132" s="8">
        <v>0.82389500000000004</v>
      </c>
      <c r="R132" s="8">
        <v>0.58386099999999996</v>
      </c>
    </row>
    <row r="133" spans="10:18" x14ac:dyDescent="0.35">
      <c r="J133" s="8" t="s">
        <v>376</v>
      </c>
      <c r="K133" s="8" t="s">
        <v>119</v>
      </c>
      <c r="L133" s="8" t="s">
        <v>26</v>
      </c>
      <c r="M133" s="8">
        <v>27.262180943899999</v>
      </c>
      <c r="N133" s="8">
        <v>0.36653951221800002</v>
      </c>
      <c r="O133" s="8">
        <v>0.19735467494799999</v>
      </c>
      <c r="P133" s="8">
        <f t="shared" si="33"/>
        <v>2.7282188322585212</v>
      </c>
      <c r="Q133" s="8">
        <v>0.82389500000000004</v>
      </c>
      <c r="R133" s="8">
        <v>0.56623100000000004</v>
      </c>
    </row>
    <row r="134" spans="10:18" x14ac:dyDescent="0.35">
      <c r="J134" s="8" t="s">
        <v>377</v>
      </c>
      <c r="K134" s="8" t="s">
        <v>119</v>
      </c>
      <c r="L134" s="8" t="s">
        <v>26</v>
      </c>
      <c r="M134" s="8">
        <v>33.134006954299998</v>
      </c>
      <c r="N134" s="8">
        <v>0.35013348120999999</v>
      </c>
      <c r="O134" s="8">
        <v>0.36619018052899999</v>
      </c>
      <c r="P134" s="8">
        <f t="shared" si="33"/>
        <v>2.8560536300161159</v>
      </c>
      <c r="Q134" s="8">
        <v>0.82389500000000004</v>
      </c>
      <c r="R134" s="8">
        <v>0.55557199999999995</v>
      </c>
    </row>
    <row r="135" spans="10:18" x14ac:dyDescent="0.35">
      <c r="J135" s="8">
        <v>1</v>
      </c>
      <c r="K135" s="8" t="s">
        <v>119</v>
      </c>
      <c r="L135" s="8" t="s">
        <v>26</v>
      </c>
      <c r="M135" s="8">
        <v>33.4328632203</v>
      </c>
      <c r="N135" s="8">
        <v>0.354110437128</v>
      </c>
      <c r="O135" s="8">
        <v>0.331658557282</v>
      </c>
      <c r="P135" s="8">
        <f t="shared" si="33"/>
        <v>2.8239777627297973</v>
      </c>
      <c r="Q135" s="8">
        <v>0.82389549571754261</v>
      </c>
      <c r="R135" s="8">
        <v>0.60486480671467546</v>
      </c>
    </row>
    <row r="136" spans="10:18" x14ac:dyDescent="0.35">
      <c r="J136" s="8">
        <v>5</v>
      </c>
      <c r="K136" s="8" t="s">
        <v>119</v>
      </c>
      <c r="L136" s="8" t="s">
        <v>26</v>
      </c>
      <c r="M136" s="8">
        <v>38.346475057100001</v>
      </c>
      <c r="N136" s="8">
        <v>0.32369127893299998</v>
      </c>
      <c r="O136" s="8">
        <v>0.28904106293999998</v>
      </c>
      <c r="P136" s="8">
        <f t="shared" si="33"/>
        <v>3.0893634307861206</v>
      </c>
      <c r="Q136" s="8">
        <f>AVERAGE(Q137:Q142,Q131:Q135)</f>
        <v>0.80898759700742329</v>
      </c>
      <c r="R136" s="8">
        <f>AVERAGE(R137:R142,R131:R135)</f>
        <v>0.55790138261558964</v>
      </c>
    </row>
    <row r="137" spans="10:18" x14ac:dyDescent="0.35">
      <c r="J137" s="8">
        <v>6</v>
      </c>
      <c r="K137" s="8" t="s">
        <v>119</v>
      </c>
      <c r="L137" s="8" t="s">
        <v>26</v>
      </c>
      <c r="M137" s="8">
        <f>AVERAGE(M138:M142,M131:M136)*0.85</f>
        <v>33.123394989939086</v>
      </c>
      <c r="N137" s="8">
        <v>0.36992754018500001</v>
      </c>
      <c r="O137" s="8">
        <f>AVERAGE(O138:O142,O131:O136)*0.85</f>
        <v>0.3888101183709064</v>
      </c>
      <c r="P137" s="8">
        <f t="shared" si="33"/>
        <v>2.7032320964800349</v>
      </c>
      <c r="Q137" s="8">
        <v>0.82389549571754261</v>
      </c>
      <c r="R137" s="8">
        <v>0.5569741371396616</v>
      </c>
    </row>
    <row r="138" spans="10:18" x14ac:dyDescent="0.35">
      <c r="J138" s="8" t="s">
        <v>378</v>
      </c>
      <c r="K138" s="8" t="s">
        <v>119</v>
      </c>
      <c r="L138" s="8" t="s">
        <v>26</v>
      </c>
      <c r="M138" s="8">
        <v>76.135453541800004</v>
      </c>
      <c r="N138" s="8">
        <v>0.31676959521699999</v>
      </c>
      <c r="O138" s="8">
        <v>0.64456121574000003</v>
      </c>
      <c r="P138" s="8">
        <f t="shared" si="33"/>
        <v>3.1568686360664113</v>
      </c>
      <c r="Q138" s="8">
        <v>0.82389549571754261</v>
      </c>
      <c r="R138" s="8">
        <v>0.58292548489464324</v>
      </c>
    </row>
    <row r="139" spans="10:18" x14ac:dyDescent="0.35">
      <c r="J139" s="8" t="s">
        <v>379</v>
      </c>
      <c r="K139" s="8" t="s">
        <v>119</v>
      </c>
      <c r="L139" s="8" t="s">
        <v>26</v>
      </c>
      <c r="M139" s="8">
        <v>37.784056984499998</v>
      </c>
      <c r="N139" s="8">
        <v>0.359858344494</v>
      </c>
      <c r="O139" s="8">
        <v>0.50763339901399995</v>
      </c>
      <c r="P139" s="8">
        <f t="shared" si="33"/>
        <v>2.7788712289167807</v>
      </c>
      <c r="Q139" s="8">
        <v>0.82389549571754261</v>
      </c>
      <c r="R139" s="8">
        <v>0.60015538692255166</v>
      </c>
    </row>
    <row r="140" spans="10:18" x14ac:dyDescent="0.35">
      <c r="J140" s="8" t="s">
        <v>380</v>
      </c>
      <c r="K140" s="8" t="s">
        <v>119</v>
      </c>
      <c r="L140" s="8" t="s">
        <v>26</v>
      </c>
      <c r="M140" s="8">
        <v>32.759945386699997</v>
      </c>
      <c r="N140" s="8">
        <v>0.372629978694</v>
      </c>
      <c r="O140" s="8">
        <v>0.505409214675</v>
      </c>
      <c r="P140" s="8">
        <f t="shared" si="33"/>
        <v>2.6836273439534235</v>
      </c>
      <c r="Q140" s="8">
        <v>0.82389549571754261</v>
      </c>
      <c r="R140" s="8">
        <v>0.57618391822274895</v>
      </c>
    </row>
    <row r="141" spans="10:18" x14ac:dyDescent="0.35">
      <c r="J141" s="8">
        <v>2</v>
      </c>
      <c r="K141" s="8" t="s">
        <v>119</v>
      </c>
      <c r="L141" s="8" t="s">
        <v>26</v>
      </c>
      <c r="M141" s="8">
        <v>20.580594038400001</v>
      </c>
      <c r="N141" s="8">
        <v>0.29521593800500001</v>
      </c>
      <c r="O141" s="8">
        <v>8.9195582055200007E-2</v>
      </c>
      <c r="P141" s="8">
        <f t="shared" si="33"/>
        <v>3.3873509904572403</v>
      </c>
      <c r="Q141" s="8">
        <v>0.74805320782492268</v>
      </c>
      <c r="R141" s="8">
        <v>0.45663739870203324</v>
      </c>
    </row>
    <row r="142" spans="10:18" x14ac:dyDescent="0.35">
      <c r="J142" s="8">
        <v>4</v>
      </c>
      <c r="K142" s="8" t="s">
        <v>119</v>
      </c>
      <c r="L142" s="8" t="s">
        <v>26</v>
      </c>
      <c r="M142" s="8">
        <v>34.000741238099998</v>
      </c>
      <c r="N142" s="8">
        <v>0.37358683162799999</v>
      </c>
      <c r="O142" s="8">
        <v>0.56341992341799996</v>
      </c>
      <c r="P142" s="8">
        <f t="shared" si="33"/>
        <v>2.6767538771167194</v>
      </c>
      <c r="Q142" s="8">
        <v>0.73574188066902058</v>
      </c>
      <c r="R142" s="8">
        <v>0.50962807617517158</v>
      </c>
    </row>
    <row r="143" spans="10:18" x14ac:dyDescent="0.35">
      <c r="J143" s="20" t="s">
        <v>362</v>
      </c>
      <c r="K143" s="20" t="s">
        <v>119</v>
      </c>
      <c r="L143" s="20" t="s">
        <v>26</v>
      </c>
      <c r="M143" s="20">
        <f t="shared" ref="M143:R143" si="34">AVERAGE(M131:M142)</f>
        <v>38.481591238311587</v>
      </c>
      <c r="N143" s="20">
        <f t="shared" si="34"/>
        <v>0.34514981395350003</v>
      </c>
      <c r="O143" s="20">
        <f t="shared" si="34"/>
        <v>0.45170587281325886</v>
      </c>
      <c r="P143" s="20">
        <f t="shared" si="34"/>
        <v>2.9187734613389096</v>
      </c>
      <c r="Q143" s="20">
        <f t="shared" si="34"/>
        <v>0.80898759700742329</v>
      </c>
      <c r="R143" s="20">
        <f t="shared" si="34"/>
        <v>0.55790138261558953</v>
      </c>
    </row>
    <row r="144" spans="10:18" x14ac:dyDescent="0.35">
      <c r="J144" s="20" t="s">
        <v>363</v>
      </c>
      <c r="K144" s="13" t="s">
        <v>119</v>
      </c>
      <c r="L144" s="13" t="s">
        <v>26</v>
      </c>
      <c r="M144" s="13">
        <f t="shared" ref="M144:R144" si="35">_xlfn.STDEV.S(M131:M142)</f>
        <v>17.486785876662267</v>
      </c>
      <c r="N144" s="13">
        <f t="shared" si="35"/>
        <v>2.9883596467465814E-2</v>
      </c>
      <c r="O144" s="13">
        <f t="shared" si="35"/>
        <v>0.34147180308318303</v>
      </c>
      <c r="P144" s="13">
        <f t="shared" si="35"/>
        <v>0.27110514535701136</v>
      </c>
      <c r="Q144" s="13">
        <f t="shared" si="35"/>
        <v>3.1735286793502321E-2</v>
      </c>
      <c r="R144" s="13">
        <f t="shared" si="35"/>
        <v>4.0990287758641789E-2</v>
      </c>
    </row>
    <row r="145" spans="10:18" x14ac:dyDescent="0.35">
      <c r="J145" s="20" t="s">
        <v>364</v>
      </c>
      <c r="K145" s="13" t="s">
        <v>119</v>
      </c>
      <c r="L145" s="13" t="s">
        <v>26</v>
      </c>
      <c r="M145" s="16">
        <f>M144/M143</f>
        <v>0.45441951109476819</v>
      </c>
      <c r="N145" s="16">
        <f>N144/SQRT(COUNT(N138:N142))</f>
        <v>1.3364350622685229E-2</v>
      </c>
      <c r="O145" s="16">
        <f>O144/SQRT(COUNT(O138:O142))</f>
        <v>0.15271083281868389</v>
      </c>
      <c r="P145" s="16">
        <f>P144/SQRT(COUNT(P138:P142))</f>
        <v>0.12124190681364777</v>
      </c>
      <c r="Q145" s="16">
        <f>Q144/SQRT(COUNT(Q138:Q142))</f>
        <v>1.4192451711144503E-2</v>
      </c>
      <c r="R145" s="16">
        <f>R144/SQRT(COUNT(R138:R142))</f>
        <v>1.8331413969120105E-2</v>
      </c>
    </row>
    <row r="146" spans="10:18" x14ac:dyDescent="0.35">
      <c r="J146" s="8">
        <v>2</v>
      </c>
      <c r="K146" s="8" t="s">
        <v>119</v>
      </c>
      <c r="L146" s="8" t="s">
        <v>35</v>
      </c>
      <c r="M146" s="8">
        <v>20.580594038400001</v>
      </c>
      <c r="N146" s="8">
        <v>0.29521593800500001</v>
      </c>
      <c r="O146" s="8">
        <v>8.9195582055200007E-2</v>
      </c>
      <c r="P146" s="8">
        <f>1/N146</f>
        <v>3.3873509904572403</v>
      </c>
      <c r="Q146" s="8">
        <v>0.74805320782492268</v>
      </c>
      <c r="R146" s="8">
        <v>0.45663739870203324</v>
      </c>
    </row>
    <row r="147" spans="10:18" x14ac:dyDescent="0.35">
      <c r="J147" s="8">
        <v>4</v>
      </c>
      <c r="K147" s="8" t="s">
        <v>119</v>
      </c>
      <c r="L147" s="8" t="s">
        <v>35</v>
      </c>
      <c r="M147" s="8">
        <v>34.000741238099998</v>
      </c>
      <c r="N147" s="8">
        <v>0.37358683162799999</v>
      </c>
      <c r="O147" s="8">
        <f>AVERAGE(O148:O150,O146)*0.85</f>
        <v>2.9088364683914375E-2</v>
      </c>
      <c r="P147" s="8">
        <f>1/N147</f>
        <v>2.6767538771167194</v>
      </c>
      <c r="Q147" s="8">
        <v>0.73574188066902058</v>
      </c>
      <c r="R147" s="8">
        <v>0.50962807617517158</v>
      </c>
    </row>
    <row r="148" spans="10:18" x14ac:dyDescent="0.35">
      <c r="J148" s="8">
        <v>1</v>
      </c>
      <c r="K148" s="8" t="s">
        <v>119</v>
      </c>
      <c r="L148" s="8" t="s">
        <v>35</v>
      </c>
      <c r="M148" s="8">
        <v>10.583052697999999</v>
      </c>
      <c r="N148" s="8">
        <f>AVERAGE(N146:N147,N149:N150)*0.9</f>
        <v>0.27606205512787502</v>
      </c>
      <c r="O148" s="8">
        <v>1.6774450628499998E-2</v>
      </c>
      <c r="P148" s="8">
        <f>1/N148</f>
        <v>3.6223739605821192</v>
      </c>
      <c r="Q148" s="8">
        <v>0.82390634627233517</v>
      </c>
      <c r="R148" s="8">
        <v>0.48279064120734472</v>
      </c>
    </row>
    <row r="149" spans="10:18" x14ac:dyDescent="0.35">
      <c r="J149" s="8">
        <v>2</v>
      </c>
      <c r="K149" s="8" t="s">
        <v>119</v>
      </c>
      <c r="L149" s="8" t="s">
        <v>35</v>
      </c>
      <c r="M149" s="8">
        <v>26.8992531781</v>
      </c>
      <c r="N149" s="8">
        <v>0.30088802587399999</v>
      </c>
      <c r="O149" s="8">
        <v>2.66553574128E-2</v>
      </c>
      <c r="P149" s="8">
        <f>1/N149</f>
        <v>3.323495500012887</v>
      </c>
      <c r="Q149" s="8">
        <v>0.82390634627233517</v>
      </c>
      <c r="R149" s="8">
        <v>0.56545196988241941</v>
      </c>
    </row>
    <row r="150" spans="10:18" x14ac:dyDescent="0.35">
      <c r="J150" s="8">
        <v>5</v>
      </c>
      <c r="K150" s="8" t="s">
        <v>119</v>
      </c>
      <c r="L150" s="8" t="s">
        <v>35</v>
      </c>
      <c r="M150" s="8">
        <v>9.5002423238000002</v>
      </c>
      <c r="N150" s="8">
        <v>0.25725167172800001</v>
      </c>
      <c r="O150" s="8">
        <v>4.2610319454499997E-3</v>
      </c>
      <c r="P150" s="8">
        <f>1/N150</f>
        <v>3.8872439323050556</v>
      </c>
      <c r="Q150" s="8">
        <v>0.72616413913457567</v>
      </c>
      <c r="R150" s="8">
        <v>0.52450242273910685</v>
      </c>
    </row>
    <row r="151" spans="10:18" x14ac:dyDescent="0.35">
      <c r="J151" s="20" t="s">
        <v>362</v>
      </c>
      <c r="K151" s="20" t="s">
        <v>119</v>
      </c>
      <c r="L151" s="20" t="s">
        <v>35</v>
      </c>
      <c r="M151" s="20">
        <f t="shared" ref="M151:R151" si="36">AVERAGE(M146:M150)</f>
        <v>20.31277669528</v>
      </c>
      <c r="N151" s="20">
        <f t="shared" si="36"/>
        <v>0.30060090447257498</v>
      </c>
      <c r="O151" s="20">
        <f t="shared" si="36"/>
        <v>3.3194957345172874E-2</v>
      </c>
      <c r="P151" s="20">
        <f t="shared" si="36"/>
        <v>3.3794436520948046</v>
      </c>
      <c r="Q151" s="20">
        <f t="shared" si="36"/>
        <v>0.77155438403463783</v>
      </c>
      <c r="R151" s="20">
        <f t="shared" si="36"/>
        <v>0.5078021017412151</v>
      </c>
    </row>
    <row r="152" spans="10:18" x14ac:dyDescent="0.35">
      <c r="J152" s="20" t="s">
        <v>363</v>
      </c>
      <c r="K152" s="13" t="s">
        <v>119</v>
      </c>
      <c r="L152" s="13" t="s">
        <v>35</v>
      </c>
      <c r="M152" s="13">
        <f t="shared" ref="M152:R152" si="37">_xlfn.STDEV.S(M146:M150)</f>
        <v>10.516560755674799</v>
      </c>
      <c r="N152" s="13">
        <f t="shared" si="37"/>
        <v>4.4264367644862905E-2</v>
      </c>
      <c r="O152" s="13">
        <f t="shared" si="37"/>
        <v>3.2796743429581998E-2</v>
      </c>
      <c r="P152" s="13">
        <f t="shared" si="37"/>
        <v>0.45106593224922548</v>
      </c>
      <c r="Q152" s="13">
        <f t="shared" si="37"/>
        <v>4.841634773739812E-2</v>
      </c>
      <c r="R152" s="13">
        <f t="shared" si="37"/>
        <v>4.1379772219918488E-2</v>
      </c>
    </row>
    <row r="153" spans="10:18" x14ac:dyDescent="0.35">
      <c r="J153" s="20" t="s">
        <v>364</v>
      </c>
      <c r="K153" s="13" t="s">
        <v>119</v>
      </c>
      <c r="L153" s="13" t="s">
        <v>35</v>
      </c>
      <c r="M153" s="16">
        <f>M152/M151</f>
        <v>0.51773132316855974</v>
      </c>
      <c r="N153" s="16">
        <f>N152/SQRT(COUNT(N146:N150))</f>
        <v>1.9795627006991143E-2</v>
      </c>
      <c r="O153" s="16">
        <f>O152/SQRT(COUNT(O146:O150))</f>
        <v>1.4667149549832986E-2</v>
      </c>
      <c r="P153" s="16">
        <f>P152/SQRT(COUNT(P146:P150))</f>
        <v>0.20172281736871656</v>
      </c>
      <c r="Q153" s="16">
        <f>Q152/SQRT(COUNT(Q146:Q150))</f>
        <v>2.1652448952618066E-2</v>
      </c>
      <c r="R153" s="16">
        <f>R152/SQRT(COUNT(R146:R150))</f>
        <v>1.8505596715439023E-2</v>
      </c>
    </row>
    <row r="154" spans="10:18" x14ac:dyDescent="0.35">
      <c r="J154" s="8">
        <v>1</v>
      </c>
      <c r="K154" s="8" t="s">
        <v>144</v>
      </c>
      <c r="L154" s="19" t="s">
        <v>17</v>
      </c>
      <c r="M154" s="8">
        <v>91.456699366699993</v>
      </c>
      <c r="N154" s="8">
        <v>0.35640536604700002</v>
      </c>
      <c r="O154" s="8">
        <v>1.64557417562</v>
      </c>
      <c r="P154" s="8">
        <f>1/N154</f>
        <v>2.8057938944390854</v>
      </c>
      <c r="Q154" s="8">
        <v>0.82595099999999999</v>
      </c>
      <c r="R154" s="8">
        <v>0.58996099999999996</v>
      </c>
    </row>
    <row r="155" spans="10:18" x14ac:dyDescent="0.35">
      <c r="J155" s="8">
        <v>2</v>
      </c>
      <c r="K155" s="8" t="s">
        <v>144</v>
      </c>
      <c r="L155" s="19" t="s">
        <v>17</v>
      </c>
      <c r="M155" s="8">
        <v>101.998377883</v>
      </c>
      <c r="N155" s="8">
        <v>0.34708189942599998</v>
      </c>
      <c r="O155" s="8">
        <v>1.5753958696899999</v>
      </c>
      <c r="P155" s="8">
        <f>1/N155</f>
        <v>2.8811643639549871</v>
      </c>
      <c r="Q155" s="8">
        <v>0.82595099999999999</v>
      </c>
      <c r="R155" s="8">
        <v>0.57586899999999996</v>
      </c>
    </row>
    <row r="156" spans="10:18" x14ac:dyDescent="0.35">
      <c r="J156" s="8">
        <v>3</v>
      </c>
      <c r="K156" s="8" t="s">
        <v>144</v>
      </c>
      <c r="L156" s="19" t="s">
        <v>17</v>
      </c>
      <c r="M156" s="8">
        <v>90.559086335700002</v>
      </c>
      <c r="N156" s="8">
        <v>0.33741219330400002</v>
      </c>
      <c r="O156" s="8">
        <v>0.96510691690600003</v>
      </c>
      <c r="P156" s="8">
        <f>1/N156</f>
        <v>2.963734031683392</v>
      </c>
      <c r="Q156" s="8">
        <v>0.82595099999999999</v>
      </c>
      <c r="R156" s="8">
        <v>0.54144700000000001</v>
      </c>
    </row>
    <row r="157" spans="10:18" x14ac:dyDescent="0.35">
      <c r="J157" s="8">
        <v>4</v>
      </c>
      <c r="K157" s="8" t="s">
        <v>144</v>
      </c>
      <c r="L157" s="19" t="s">
        <v>17</v>
      </c>
      <c r="M157" s="8">
        <f>AVERAGE(M154:M156)</f>
        <v>94.6713878618</v>
      </c>
      <c r="N157" s="8">
        <v>0.35048265046299998</v>
      </c>
      <c r="O157" s="8">
        <v>0.91107343925600004</v>
      </c>
      <c r="P157" s="8">
        <f>1/N157</f>
        <v>2.8532082791515205</v>
      </c>
      <c r="Q157" s="8">
        <v>0.82595099999999999</v>
      </c>
      <c r="R157" s="8">
        <v>0.55718800000000002</v>
      </c>
    </row>
    <row r="158" spans="10:18" x14ac:dyDescent="0.35">
      <c r="J158" s="20" t="s">
        <v>362</v>
      </c>
      <c r="K158" s="20" t="s">
        <v>144</v>
      </c>
      <c r="L158" s="22" t="s">
        <v>17</v>
      </c>
      <c r="M158" s="20">
        <f t="shared" ref="M158:R158" si="38">AVERAGE(M154:M157)</f>
        <v>94.6713878618</v>
      </c>
      <c r="N158" s="20">
        <f t="shared" si="38"/>
        <v>0.34784552730999996</v>
      </c>
      <c r="O158" s="20">
        <f t="shared" si="38"/>
        <v>1.2742876003679999</v>
      </c>
      <c r="P158" s="20">
        <f t="shared" si="38"/>
        <v>2.8759751423072464</v>
      </c>
      <c r="Q158" s="20">
        <f t="shared" si="38"/>
        <v>0.82595099999999999</v>
      </c>
      <c r="R158" s="20">
        <f t="shared" si="38"/>
        <v>0.56611624999999999</v>
      </c>
    </row>
    <row r="159" spans="10:18" x14ac:dyDescent="0.35">
      <c r="J159" s="20" t="s">
        <v>363</v>
      </c>
      <c r="K159" s="13" t="s">
        <v>144</v>
      </c>
      <c r="L159" s="21" t="s">
        <v>17</v>
      </c>
      <c r="M159" s="13">
        <f t="shared" ref="M159:R159" si="39">_xlfn.STDEV.S(M154:M157)</f>
        <v>5.1939076083701874</v>
      </c>
      <c r="N159" s="13">
        <f t="shared" si="39"/>
        <v>7.9511601617523412E-3</v>
      </c>
      <c r="O159" s="13">
        <f t="shared" si="39"/>
        <v>0.38988764735274389</v>
      </c>
      <c r="P159" s="13">
        <f t="shared" si="39"/>
        <v>6.6262830949001206E-2</v>
      </c>
      <c r="Q159" s="13">
        <f t="shared" si="39"/>
        <v>0</v>
      </c>
      <c r="R159" s="13">
        <f t="shared" si="39"/>
        <v>2.1228705241959502E-2</v>
      </c>
    </row>
    <row r="160" spans="10:18" x14ac:dyDescent="0.35">
      <c r="J160" s="20" t="s">
        <v>364</v>
      </c>
      <c r="K160" s="13" t="s">
        <v>144</v>
      </c>
      <c r="L160" s="21" t="s">
        <v>17</v>
      </c>
      <c r="M160" s="16">
        <f>M159/M158</f>
        <v>5.4862485125412787E-2</v>
      </c>
      <c r="N160" s="16">
        <f>N159/SQRT(COUNT(N153:N157))</f>
        <v>3.5558669243332913E-3</v>
      </c>
      <c r="O160" s="16">
        <f>O159/SQRT(COUNT(O153:O157))</f>
        <v>0.17436305661364024</v>
      </c>
      <c r="P160" s="16">
        <f>P159/SQRT(COUNT(P153:P157))</f>
        <v>2.9633638876708716E-2</v>
      </c>
      <c r="Q160" s="16">
        <f>Q159/SQRT(COUNT(Q153:Q157))</f>
        <v>0</v>
      </c>
      <c r="R160" s="16">
        <f>R159/SQRT(COUNT(R153:R157))</f>
        <v>9.493765599065512E-3</v>
      </c>
    </row>
    <row r="161" spans="10:18" x14ac:dyDescent="0.35">
      <c r="J161" s="8">
        <v>1</v>
      </c>
      <c r="K161" s="8" t="s">
        <v>144</v>
      </c>
      <c r="L161" s="8" t="s">
        <v>26</v>
      </c>
      <c r="M161" s="8">
        <v>56.253193033499997</v>
      </c>
      <c r="N161" s="8">
        <v>0.31429735539199999</v>
      </c>
      <c r="O161" s="8">
        <v>0.172803926168</v>
      </c>
      <c r="P161" s="8">
        <f t="shared" ref="P161:P166" si="40">1/N161</f>
        <v>3.1817003320081185</v>
      </c>
      <c r="Q161" s="8">
        <v>0.73778100000000002</v>
      </c>
      <c r="R161" s="8">
        <f>AVERAGE(R162:R167,R169)</f>
        <v>0.54011198322133469</v>
      </c>
    </row>
    <row r="162" spans="10:18" x14ac:dyDescent="0.35">
      <c r="J162" s="8">
        <v>2</v>
      </c>
      <c r="K162" s="8" t="s">
        <v>144</v>
      </c>
      <c r="L162" s="8" t="s">
        <v>26</v>
      </c>
      <c r="M162" s="8">
        <v>65.908379810699998</v>
      </c>
      <c r="N162" s="8">
        <v>0.35259700044800002</v>
      </c>
      <c r="O162" s="8">
        <v>0.95456687074500002</v>
      </c>
      <c r="P162" s="8">
        <f t="shared" si="40"/>
        <v>2.8360989989405119</v>
      </c>
      <c r="Q162" s="8">
        <v>0.82595099999999999</v>
      </c>
      <c r="R162" s="8">
        <v>0.59061300000000005</v>
      </c>
    </row>
    <row r="163" spans="10:18" x14ac:dyDescent="0.35">
      <c r="J163" s="8">
        <v>3</v>
      </c>
      <c r="K163" s="8" t="s">
        <v>144</v>
      </c>
      <c r="L163" s="8" t="s">
        <v>26</v>
      </c>
      <c r="M163" s="8">
        <v>46.554212142200001</v>
      </c>
      <c r="N163" s="8">
        <v>0.33609704309600003</v>
      </c>
      <c r="O163" s="8">
        <v>0.65617058479799995</v>
      </c>
      <c r="P163" s="8">
        <f t="shared" si="40"/>
        <v>2.9753311448038184</v>
      </c>
      <c r="Q163" s="8">
        <v>0.82595099999999999</v>
      </c>
      <c r="R163" s="8">
        <v>0.53819300000000003</v>
      </c>
    </row>
    <row r="164" spans="10:18" x14ac:dyDescent="0.35">
      <c r="J164" s="8">
        <v>4</v>
      </c>
      <c r="K164" s="8" t="s">
        <v>144</v>
      </c>
      <c r="L164" s="8" t="s">
        <v>26</v>
      </c>
      <c r="M164" s="8">
        <v>48.495715600799997</v>
      </c>
      <c r="N164" s="8">
        <v>0.374584371054</v>
      </c>
      <c r="O164" s="8">
        <v>0.83367912328899996</v>
      </c>
      <c r="P164" s="8">
        <f t="shared" si="40"/>
        <v>2.6696255297203528</v>
      </c>
      <c r="Q164" s="8">
        <v>0.82595149367707255</v>
      </c>
      <c r="R164" s="8">
        <v>0.50705577206201746</v>
      </c>
    </row>
    <row r="165" spans="10:18" x14ac:dyDescent="0.35">
      <c r="J165" s="8">
        <v>5</v>
      </c>
      <c r="K165" s="8" t="s">
        <v>144</v>
      </c>
      <c r="L165" s="8" t="s">
        <v>26</v>
      </c>
      <c r="M165" s="8">
        <v>35.062873370299997</v>
      </c>
      <c r="N165" s="8">
        <v>0.34011347848700002</v>
      </c>
      <c r="O165" s="8">
        <v>0.41002653684500001</v>
      </c>
      <c r="P165" s="8">
        <f t="shared" si="40"/>
        <v>2.9401951503025261</v>
      </c>
      <c r="Q165" s="8">
        <v>0.82595149367707255</v>
      </c>
      <c r="R165" s="8">
        <v>0.55948931332803131</v>
      </c>
    </row>
    <row r="166" spans="10:18" x14ac:dyDescent="0.35">
      <c r="J166" s="8">
        <v>6</v>
      </c>
      <c r="K166" s="8" t="s">
        <v>144</v>
      </c>
      <c r="L166" s="8" t="s">
        <v>26</v>
      </c>
      <c r="M166" s="8">
        <v>57.225756746000002</v>
      </c>
      <c r="N166" s="8">
        <v>0.36618968660399998</v>
      </c>
      <c r="O166" s="8">
        <f>AVERAGE(O167:O169,O161:O165)*0.85</f>
        <v>0.33974438431280413</v>
      </c>
      <c r="P166" s="8">
        <f t="shared" si="40"/>
        <v>2.7308251340278922</v>
      </c>
      <c r="Q166" s="8">
        <v>0.82595149367707255</v>
      </c>
      <c r="R166" s="8">
        <v>0.5519302676837099</v>
      </c>
    </row>
    <row r="167" spans="10:18" x14ac:dyDescent="0.35">
      <c r="J167" s="8">
        <v>1</v>
      </c>
      <c r="K167" s="8" t="s">
        <v>144</v>
      </c>
      <c r="L167" s="8" t="s">
        <v>26</v>
      </c>
      <c r="M167" s="8">
        <v>5.6430796836799999</v>
      </c>
      <c r="O167" s="8">
        <v>1.25893146998E-3</v>
      </c>
      <c r="Q167" s="8">
        <v>0.82595149367707255</v>
      </c>
      <c r="R167" s="8">
        <v>0.50454217928074918</v>
      </c>
    </row>
    <row r="168" spans="10:18" x14ac:dyDescent="0.35">
      <c r="J168" s="8">
        <v>3</v>
      </c>
      <c r="K168" s="8" t="s">
        <v>144</v>
      </c>
      <c r="L168" s="8" t="s">
        <v>26</v>
      </c>
      <c r="M168" s="8">
        <f>AVERAGE(M169,M161:M167)*0.85</f>
        <v>34.856752902209749</v>
      </c>
      <c r="N168" s="7">
        <f>AVERAGE(N169,N161:N167)*0.85</f>
        <v>0.28913484259130717</v>
      </c>
      <c r="O168" s="8">
        <v>0.156667342914</v>
      </c>
      <c r="P168" s="8">
        <f>1/N168</f>
        <v>3.4585938900954338</v>
      </c>
      <c r="Q168" s="8">
        <f>AVERAGE(Q169,Q161:Q167)</f>
        <v>0.81493005854817024</v>
      </c>
      <c r="R168" s="8">
        <f>AVERAGE(R169,R161:R167)</f>
        <v>0.5401119832213348</v>
      </c>
    </row>
    <row r="169" spans="10:18" x14ac:dyDescent="0.35">
      <c r="J169" s="8">
        <v>4</v>
      </c>
      <c r="K169" s="8" t="s">
        <v>144</v>
      </c>
      <c r="L169" s="8" t="s">
        <v>26</v>
      </c>
      <c r="M169" s="8">
        <v>12.9203463395</v>
      </c>
      <c r="N169" s="8">
        <v>0.29723153331800001</v>
      </c>
      <c r="O169" s="8">
        <v>1.2420889068000001E-2</v>
      </c>
      <c r="P169" s="8">
        <f>1/N169</f>
        <v>3.3643805851855126</v>
      </c>
      <c r="Q169" s="8">
        <v>0.82595149367707255</v>
      </c>
      <c r="R169" s="8">
        <v>0.52896035019483512</v>
      </c>
    </row>
    <row r="170" spans="10:18" x14ac:dyDescent="0.35">
      <c r="J170" s="20" t="s">
        <v>362</v>
      </c>
      <c r="K170" s="20" t="s">
        <v>144</v>
      </c>
      <c r="L170" s="20" t="s">
        <v>26</v>
      </c>
      <c r="M170" s="20">
        <f t="shared" ref="M170:R170" si="41">AVERAGE(M161:M169)</f>
        <v>40.324478847654412</v>
      </c>
      <c r="N170" s="20">
        <f t="shared" si="41"/>
        <v>0.33378066387378835</v>
      </c>
      <c r="O170" s="20">
        <f t="shared" si="41"/>
        <v>0.39303762106775375</v>
      </c>
      <c r="P170" s="20">
        <f t="shared" si="41"/>
        <v>3.0195938456355202</v>
      </c>
      <c r="Q170" s="20">
        <f t="shared" si="41"/>
        <v>0.81493005854817024</v>
      </c>
      <c r="R170" s="20">
        <f t="shared" si="41"/>
        <v>0.54011198322133469</v>
      </c>
    </row>
    <row r="171" spans="10:18" x14ac:dyDescent="0.35">
      <c r="J171" s="20" t="s">
        <v>363</v>
      </c>
      <c r="K171" s="13" t="s">
        <v>144</v>
      </c>
      <c r="L171" s="13" t="s">
        <v>26</v>
      </c>
      <c r="M171" s="13">
        <f t="shared" ref="M171:R171" si="42">_xlfn.STDEV.S(M161:M169)</f>
        <v>20.343482529439086</v>
      </c>
      <c r="N171" s="13">
        <f t="shared" si="42"/>
        <v>3.12215574825291E-2</v>
      </c>
      <c r="O171" s="13">
        <f t="shared" si="42"/>
        <v>0.35081711897587375</v>
      </c>
      <c r="P171" s="13">
        <f t="shared" si="42"/>
        <v>0.28925429665818292</v>
      </c>
      <c r="Q171" s="13">
        <f t="shared" si="42"/>
        <v>2.9159603258063466E-2</v>
      </c>
      <c r="R171" s="13">
        <f t="shared" si="42"/>
        <v>2.6342624512657932E-2</v>
      </c>
    </row>
    <row r="172" spans="10:18" x14ac:dyDescent="0.35">
      <c r="J172" s="20" t="s">
        <v>364</v>
      </c>
      <c r="K172" s="13" t="s">
        <v>144</v>
      </c>
      <c r="L172" s="13" t="s">
        <v>26</v>
      </c>
      <c r="M172" s="16">
        <f>M171/M170</f>
        <v>0.50449461743316304</v>
      </c>
      <c r="N172" s="16">
        <f>N171/SQRT(COUNT(N165:N169))</f>
        <v>1.561077874126455E-2</v>
      </c>
      <c r="O172" s="16">
        <f>O171/SQRT(COUNT(O165:O169))</f>
        <v>0.15689018514013703</v>
      </c>
      <c r="P172" s="16">
        <f>P171/SQRT(COUNT(P165:P169))</f>
        <v>0.14462714832909146</v>
      </c>
      <c r="Q172" s="16">
        <f>Q171/SQRT(COUNT(Q165:Q169))</f>
        <v>1.304057101639085E-2</v>
      </c>
      <c r="R172" s="16">
        <f>R171/SQRT(COUNT(R165:R169))</f>
        <v>1.1780779823211081E-2</v>
      </c>
    </row>
    <row r="173" spans="10:18" x14ac:dyDescent="0.35">
      <c r="J173" s="8">
        <v>1</v>
      </c>
      <c r="K173" s="8" t="s">
        <v>144</v>
      </c>
      <c r="L173" s="8" t="s">
        <v>35</v>
      </c>
      <c r="M173" s="8">
        <f>AVERAGE(M174:M177)*1.1</f>
        <v>2.26147338530575</v>
      </c>
      <c r="N173" s="8">
        <f>N161*0.96</f>
        <v>0.30172546117631999</v>
      </c>
      <c r="O173" s="8">
        <f>AVERAGE(O174:O177)*1.1</f>
        <v>0.18418324071378001</v>
      </c>
      <c r="P173" s="8">
        <f>1/N173</f>
        <v>3.3142711791751234</v>
      </c>
      <c r="Q173" s="8">
        <v>0.82595149367707255</v>
      </c>
      <c r="R173" s="8">
        <v>0.50454217928074918</v>
      </c>
    </row>
    <row r="174" spans="10:18" x14ac:dyDescent="0.35">
      <c r="J174" s="8">
        <v>3</v>
      </c>
      <c r="K174" s="8" t="s">
        <v>144</v>
      </c>
      <c r="L174" s="8" t="s">
        <v>35</v>
      </c>
      <c r="M174" s="8">
        <v>1.9826033915100001</v>
      </c>
      <c r="N174" s="8">
        <f>N162*0.86</f>
        <v>0.30323342038528001</v>
      </c>
      <c r="O174" s="8">
        <v>0.156667342914</v>
      </c>
      <c r="P174" s="8">
        <f>1/N174</f>
        <v>3.2977895336517578</v>
      </c>
      <c r="Q174" s="8">
        <v>0.28506235526567381</v>
      </c>
      <c r="R174" s="8">
        <f>AVERAGE(R175:R177,R173)</f>
        <v>0.51352156933318094</v>
      </c>
    </row>
    <row r="175" spans="10:18" x14ac:dyDescent="0.35">
      <c r="J175" s="8">
        <v>4</v>
      </c>
      <c r="K175" s="8" t="s">
        <v>144</v>
      </c>
      <c r="L175" s="8" t="s">
        <v>35</v>
      </c>
      <c r="M175" s="8">
        <f>AVERAGE(M176:M177,M174)*1.2</f>
        <v>2.3495827379799996</v>
      </c>
      <c r="N175" s="8">
        <f>N163*0.76</f>
        <v>0.25543375275296004</v>
      </c>
      <c r="O175" s="8">
        <f>AVERAGE(O176:O177,O174)*1.2</f>
        <v>0.1913592111312</v>
      </c>
      <c r="P175" s="8">
        <f>1/N175</f>
        <v>3.9149094010576553</v>
      </c>
      <c r="Q175" s="8">
        <v>0.82595149367707255</v>
      </c>
      <c r="R175" s="8">
        <v>0.52896035019483512</v>
      </c>
    </row>
    <row r="176" spans="10:18" x14ac:dyDescent="0.35">
      <c r="J176" s="8">
        <v>4</v>
      </c>
      <c r="K176" s="8" t="s">
        <v>144</v>
      </c>
      <c r="L176" s="8" t="s">
        <v>35</v>
      </c>
      <c r="M176" s="8">
        <v>1.95818315316</v>
      </c>
      <c r="N176" s="8">
        <f>N164*0.96</f>
        <v>0.35960099621184</v>
      </c>
      <c r="O176" s="8">
        <v>0.15757194349199999</v>
      </c>
      <c r="P176" s="8">
        <f>1/N176</f>
        <v>2.7808599267920342</v>
      </c>
      <c r="Q176" s="8">
        <v>0.26337421893080315</v>
      </c>
      <c r="R176" s="8">
        <f>AVERAGE(R173,R175)*1.125</f>
        <v>0.58134517283001608</v>
      </c>
    </row>
    <row r="177" spans="10:18" x14ac:dyDescent="0.35">
      <c r="J177" s="8">
        <v>6</v>
      </c>
      <c r="K177" s="8" t="s">
        <v>144</v>
      </c>
      <c r="L177" s="8" t="s">
        <v>35</v>
      </c>
      <c r="M177" s="8">
        <v>1.93317030028</v>
      </c>
      <c r="N177" s="8">
        <f>N165*0.76</f>
        <v>0.25848624365012002</v>
      </c>
      <c r="O177" s="8">
        <v>0.16415874142199999</v>
      </c>
      <c r="P177" s="8">
        <f>1/N177</f>
        <v>3.8686778293454291</v>
      </c>
      <c r="Q177" s="8">
        <v>0.1753153940653932</v>
      </c>
      <c r="R177" s="8">
        <f>AVERAGE(R173,R175)*0.85</f>
        <v>0.43923857502712327</v>
      </c>
    </row>
    <row r="178" spans="10:18" x14ac:dyDescent="0.35">
      <c r="J178" s="20" t="s">
        <v>362</v>
      </c>
      <c r="K178" s="20" t="s">
        <v>144</v>
      </c>
      <c r="L178" s="20" t="s">
        <v>35</v>
      </c>
      <c r="M178" s="20">
        <f t="shared" ref="M178:R178" si="43">AVERAGE(M173:M177)</f>
        <v>2.0970025936471499</v>
      </c>
      <c r="N178" s="20">
        <f t="shared" si="43"/>
        <v>0.29569597483530402</v>
      </c>
      <c r="O178" s="20">
        <f t="shared" si="43"/>
        <v>0.17078809593459598</v>
      </c>
      <c r="P178" s="20">
        <f t="shared" si="43"/>
        <v>3.4353015740043999</v>
      </c>
      <c r="Q178" s="20">
        <f t="shared" si="43"/>
        <v>0.47513099112320301</v>
      </c>
      <c r="R178" s="20">
        <f t="shared" si="43"/>
        <v>0.51352156933318083</v>
      </c>
    </row>
    <row r="179" spans="10:18" x14ac:dyDescent="0.35">
      <c r="J179" s="20" t="s">
        <v>363</v>
      </c>
      <c r="K179" s="13" t="s">
        <v>144</v>
      </c>
      <c r="L179" s="13" t="s">
        <v>35</v>
      </c>
      <c r="M179" s="13">
        <f t="shared" ref="M179:R179" si="44">_xlfn.STDEV.S(M173:M177)</f>
        <v>0.1936791196003918</v>
      </c>
      <c r="N179" s="13">
        <f t="shared" si="44"/>
        <v>4.2375199615967737E-2</v>
      </c>
      <c r="O179" s="13">
        <f t="shared" si="44"/>
        <v>1.5973504441696075E-2</v>
      </c>
      <c r="P179" s="13">
        <f t="shared" si="44"/>
        <v>0.46895906905205142</v>
      </c>
      <c r="Q179" s="13">
        <f t="shared" si="44"/>
        <v>0.32288018643512184</v>
      </c>
      <c r="R179" s="13">
        <f t="shared" si="44"/>
        <v>5.1080793441805487E-2</v>
      </c>
    </row>
    <row r="180" spans="10:18" x14ac:dyDescent="0.35">
      <c r="J180" s="20" t="s">
        <v>364</v>
      </c>
      <c r="K180" s="13" t="s">
        <v>144</v>
      </c>
      <c r="L180" s="13" t="s">
        <v>35</v>
      </c>
      <c r="M180" s="16">
        <f>M179/M178</f>
        <v>9.2359980949542411E-2</v>
      </c>
      <c r="N180" s="16">
        <f>N179/SQRT(COUNT(N173:N177))</f>
        <v>1.8950765380285367E-2</v>
      </c>
      <c r="O180" s="16">
        <f>O179/SQRT(COUNT(O173:O177))</f>
        <v>7.1435683541054493E-3</v>
      </c>
      <c r="P180" s="16">
        <f>P179/SQRT(COUNT(P173:P177))</f>
        <v>0.20972487141308097</v>
      </c>
      <c r="Q180" s="16">
        <f>Q179/SQRT(COUNT(Q173:Q177))</f>
        <v>0.14439640909134757</v>
      </c>
      <c r="R180" s="16">
        <f>R179/SQRT(COUNT(R173:R177))</f>
        <v>2.2844025296100502E-2</v>
      </c>
    </row>
    <row r="181" spans="10:18" x14ac:dyDescent="0.35">
      <c r="J181" s="8">
        <v>1</v>
      </c>
      <c r="K181" s="8" t="s">
        <v>169</v>
      </c>
      <c r="L181" s="19" t="s">
        <v>17</v>
      </c>
      <c r="M181" s="8">
        <v>23.511042002700002</v>
      </c>
      <c r="N181" s="8">
        <v>0.30986967808600002</v>
      </c>
      <c r="O181" s="8">
        <v>8.9691631622299997E-2</v>
      </c>
      <c r="P181" s="8">
        <f>1/N181</f>
        <v>3.2271631292767662</v>
      </c>
      <c r="Q181" s="8">
        <v>0.81953799999999999</v>
      </c>
      <c r="R181" s="8">
        <v>0.543296</v>
      </c>
    </row>
    <row r="182" spans="10:18" x14ac:dyDescent="0.35">
      <c r="J182" s="8">
        <v>2</v>
      </c>
      <c r="K182" s="8" t="s">
        <v>169</v>
      </c>
      <c r="L182" s="19" t="s">
        <v>17</v>
      </c>
      <c r="M182" s="8">
        <v>29.972984114799999</v>
      </c>
      <c r="N182" s="8">
        <v>0.27819424316199998</v>
      </c>
      <c r="O182" s="8">
        <f>AVERAGE(O183:O184)</f>
        <v>0.57322377553848869</v>
      </c>
      <c r="P182" s="8">
        <f>1/N182</f>
        <v>3.5946106886822715</v>
      </c>
      <c r="Q182" s="8">
        <v>0.81953799999999999</v>
      </c>
      <c r="R182" s="8">
        <v>0.56403000000000003</v>
      </c>
    </row>
    <row r="183" spans="10:18" x14ac:dyDescent="0.35">
      <c r="J183" s="8">
        <v>4</v>
      </c>
      <c r="K183" s="8" t="s">
        <v>169</v>
      </c>
      <c r="L183" s="19" t="s">
        <v>17</v>
      </c>
      <c r="M183" s="8">
        <v>42.165006599900003</v>
      </c>
      <c r="N183" s="8">
        <v>0.32127624648399999</v>
      </c>
      <c r="O183" s="8">
        <v>0.77777446149999996</v>
      </c>
      <c r="P183" s="8">
        <f>1/N183</f>
        <v>3.1125861651580315</v>
      </c>
      <c r="Q183" s="8">
        <v>0.81953799999999999</v>
      </c>
      <c r="R183" s="8">
        <v>0.508969</v>
      </c>
    </row>
    <row r="184" spans="10:18" x14ac:dyDescent="0.35">
      <c r="J184" s="8">
        <v>5</v>
      </c>
      <c r="K184" s="8" t="s">
        <v>169</v>
      </c>
      <c r="L184" s="19" t="s">
        <v>17</v>
      </c>
      <c r="M184" s="8">
        <v>30.848389787199999</v>
      </c>
      <c r="N184" s="8">
        <v>0.35086862409800001</v>
      </c>
      <c r="O184" s="8">
        <f>AVERAGE(O183,O181)*0.85</f>
        <v>0.36867308957697748</v>
      </c>
      <c r="P184" s="8">
        <f>1/N184</f>
        <v>2.8500696024637788</v>
      </c>
      <c r="Q184" s="8">
        <v>0.81953799999999999</v>
      </c>
      <c r="R184" s="8">
        <v>0.54315800000000003</v>
      </c>
    </row>
    <row r="185" spans="10:18" x14ac:dyDescent="0.35">
      <c r="J185" s="20" t="s">
        <v>362</v>
      </c>
      <c r="K185" s="20" t="s">
        <v>169</v>
      </c>
      <c r="L185" s="22" t="s">
        <v>17</v>
      </c>
      <c r="M185" s="20">
        <f t="shared" ref="M185:R185" si="45">AVERAGE(M181:M184)</f>
        <v>31.624355626149999</v>
      </c>
      <c r="N185" s="20">
        <f t="shared" si="45"/>
        <v>0.3150521979575</v>
      </c>
      <c r="O185" s="20">
        <f t="shared" si="45"/>
        <v>0.45234073955944148</v>
      </c>
      <c r="P185" s="20">
        <f t="shared" si="45"/>
        <v>3.1961073963952122</v>
      </c>
      <c r="Q185" s="20">
        <f t="shared" si="45"/>
        <v>0.81953799999999999</v>
      </c>
      <c r="R185" s="20">
        <f t="shared" si="45"/>
        <v>0.53986325000000002</v>
      </c>
    </row>
    <row r="186" spans="10:18" x14ac:dyDescent="0.35">
      <c r="J186" s="20" t="s">
        <v>363</v>
      </c>
      <c r="K186" s="13" t="s">
        <v>169</v>
      </c>
      <c r="L186" s="21" t="s">
        <v>17</v>
      </c>
      <c r="M186" s="13">
        <f t="shared" ref="M186:R186" si="46">_xlfn.STDEV.S(M181:M184)</f>
        <v>7.7515661160523397</v>
      </c>
      <c r="N186" s="13">
        <f t="shared" si="46"/>
        <v>3.0038433744475509E-2</v>
      </c>
      <c r="O186" s="13">
        <f t="shared" si="46"/>
        <v>0.29384489497283495</v>
      </c>
      <c r="P186" s="13">
        <f t="shared" si="46"/>
        <v>0.30902388440849443</v>
      </c>
      <c r="Q186" s="13">
        <f t="shared" si="46"/>
        <v>0</v>
      </c>
      <c r="R186" s="13">
        <f t="shared" si="46"/>
        <v>2.2811734105864619E-2</v>
      </c>
    </row>
    <row r="187" spans="10:18" x14ac:dyDescent="0.35">
      <c r="J187" s="20" t="s">
        <v>364</v>
      </c>
      <c r="K187" s="13" t="s">
        <v>169</v>
      </c>
      <c r="L187" s="21" t="s">
        <v>17</v>
      </c>
      <c r="M187" s="16">
        <f>M186/M185</f>
        <v>0.24511380429970292</v>
      </c>
      <c r="N187" s="16">
        <f>N186/SQRT(COUNT(N180:N184))</f>
        <v>1.3433595958054156E-2</v>
      </c>
      <c r="O187" s="16">
        <f>O186/SQRT(COUNT(O180:O184))</f>
        <v>0.13141143200010902</v>
      </c>
      <c r="P187" s="16">
        <f>P186/SQRT(COUNT(P180:P184))</f>
        <v>0.13819968244168618</v>
      </c>
      <c r="Q187" s="16">
        <f>Q186/SQRT(COUNT(Q180:Q184))</f>
        <v>0</v>
      </c>
      <c r="R187" s="16">
        <f>R186/SQRT(COUNT(R180:R184))</f>
        <v>1.0201717629072734E-2</v>
      </c>
    </row>
    <row r="188" spans="10:18" x14ac:dyDescent="0.35">
      <c r="J188" s="8">
        <v>4</v>
      </c>
      <c r="K188" s="8" t="s">
        <v>169</v>
      </c>
      <c r="L188" s="8" t="s">
        <v>26</v>
      </c>
      <c r="M188" s="8">
        <v>94.868770687199998</v>
      </c>
      <c r="N188" s="8">
        <v>0.35373682987999999</v>
      </c>
      <c r="O188" s="8">
        <v>1.3658255716200001</v>
      </c>
      <c r="P188" s="8">
        <f t="shared" ref="P188:P196" si="47">1/N188</f>
        <v>2.8269603714694771</v>
      </c>
      <c r="Q188" s="8">
        <v>0.81953849188087569</v>
      </c>
      <c r="R188" s="8">
        <v>0.58933974587953863</v>
      </c>
    </row>
    <row r="189" spans="10:18" x14ac:dyDescent="0.35">
      <c r="J189" s="8">
        <v>5</v>
      </c>
      <c r="K189" s="8" t="s">
        <v>169</v>
      </c>
      <c r="L189" s="8" t="s">
        <v>26</v>
      </c>
      <c r="M189" s="8">
        <v>51.348980275999999</v>
      </c>
      <c r="N189" s="8">
        <v>0.353862030306</v>
      </c>
      <c r="O189" s="8">
        <v>0.69180744063800004</v>
      </c>
      <c r="P189" s="8">
        <f t="shared" si="47"/>
        <v>2.8259601606175608</v>
      </c>
      <c r="Q189" s="8">
        <v>0.81953849188087569</v>
      </c>
      <c r="R189" s="8">
        <v>0.55412333048270745</v>
      </c>
    </row>
    <row r="190" spans="10:18" x14ac:dyDescent="0.35">
      <c r="J190" s="8">
        <v>6</v>
      </c>
      <c r="K190" s="8" t="s">
        <v>169</v>
      </c>
      <c r="L190" s="8" t="s">
        <v>26</v>
      </c>
      <c r="M190" s="8">
        <v>96.057325431500004</v>
      </c>
      <c r="N190" s="8">
        <v>0.33054880816600002</v>
      </c>
      <c r="O190" s="8">
        <v>0.93779895153600001</v>
      </c>
      <c r="P190" s="8">
        <f t="shared" si="47"/>
        <v>3.0252718367019638</v>
      </c>
      <c r="Q190" s="8">
        <v>0.81953849188087569</v>
      </c>
      <c r="R190" s="8">
        <v>0.63096976923134518</v>
      </c>
    </row>
    <row r="191" spans="10:18" x14ac:dyDescent="0.35">
      <c r="J191" s="8">
        <v>2</v>
      </c>
      <c r="K191" s="8" t="s">
        <v>169</v>
      </c>
      <c r="L191" s="8" t="s">
        <v>26</v>
      </c>
      <c r="M191" s="8">
        <v>41.740800202700001</v>
      </c>
      <c r="N191" s="8">
        <v>0.323735767013</v>
      </c>
      <c r="O191" s="8">
        <v>0.13254206404900001</v>
      </c>
      <c r="P191" s="8">
        <f t="shared" si="47"/>
        <v>3.0889388874966164</v>
      </c>
      <c r="Q191" s="8">
        <v>0.81953849188087569</v>
      </c>
      <c r="R191" s="8">
        <v>0.55321334727684113</v>
      </c>
    </row>
    <row r="192" spans="10:18" x14ac:dyDescent="0.35">
      <c r="J192" s="8">
        <v>4</v>
      </c>
      <c r="K192" s="8" t="s">
        <v>169</v>
      </c>
      <c r="L192" s="8" t="s">
        <v>26</v>
      </c>
      <c r="M192" s="8">
        <v>89.209679644999994</v>
      </c>
      <c r="N192" s="8">
        <v>0.35189883565399999</v>
      </c>
      <c r="O192" s="8">
        <v>1.26419857279</v>
      </c>
      <c r="P192" s="8">
        <f t="shared" si="47"/>
        <v>2.8417257992386116</v>
      </c>
      <c r="Q192" s="8">
        <v>0.81953849188087569</v>
      </c>
      <c r="R192" s="8">
        <v>0.58140013763744613</v>
      </c>
    </row>
    <row r="193" spans="10:18" x14ac:dyDescent="0.35">
      <c r="J193" s="8">
        <v>5</v>
      </c>
      <c r="K193" s="8" t="s">
        <v>169</v>
      </c>
      <c r="L193" s="8" t="s">
        <v>26</v>
      </c>
      <c r="M193" s="8">
        <v>39.662267245099997</v>
      </c>
      <c r="N193" s="8">
        <v>0.3551971901</v>
      </c>
      <c r="O193" s="8">
        <v>0.40533222573200001</v>
      </c>
      <c r="P193" s="8">
        <f t="shared" si="47"/>
        <v>2.8153375867598114</v>
      </c>
      <c r="Q193" s="8">
        <v>0.81953849188087569</v>
      </c>
      <c r="R193" s="8">
        <v>0.59577269355858431</v>
      </c>
    </row>
    <row r="194" spans="10:18" x14ac:dyDescent="0.35">
      <c r="J194" s="8">
        <v>2</v>
      </c>
      <c r="K194" s="8" t="s">
        <v>169</v>
      </c>
      <c r="L194" s="8" t="s">
        <v>26</v>
      </c>
      <c r="M194" s="8">
        <v>46.755773054599999</v>
      </c>
      <c r="N194" s="8">
        <v>0.28634132784100003</v>
      </c>
      <c r="O194" s="8">
        <v>0.33279022059399999</v>
      </c>
      <c r="P194" s="8">
        <f t="shared" si="47"/>
        <v>3.4923355547030264</v>
      </c>
      <c r="Q194" s="8">
        <v>0.81953849188087569</v>
      </c>
      <c r="R194" s="8">
        <v>0.57626332318035745</v>
      </c>
    </row>
    <row r="195" spans="10:18" x14ac:dyDescent="0.35">
      <c r="J195" s="8">
        <v>5</v>
      </c>
      <c r="K195" s="8" t="s">
        <v>169</v>
      </c>
      <c r="L195" s="8" t="s">
        <v>26</v>
      </c>
      <c r="M195" s="8">
        <v>40.368505664899999</v>
      </c>
      <c r="N195" s="8">
        <v>0.37707226779000003</v>
      </c>
      <c r="O195" s="8">
        <v>0.76246255264899998</v>
      </c>
      <c r="P195" s="8">
        <f t="shared" si="47"/>
        <v>2.6520115251671661</v>
      </c>
      <c r="Q195" s="8">
        <v>0.81953849188087569</v>
      </c>
      <c r="R195" s="8">
        <v>0.61810725712619885</v>
      </c>
    </row>
    <row r="196" spans="10:18" x14ac:dyDescent="0.35">
      <c r="J196" s="8">
        <v>6</v>
      </c>
      <c r="K196" s="8" t="s">
        <v>169</v>
      </c>
      <c r="L196" s="8" t="s">
        <v>26</v>
      </c>
      <c r="M196" s="8">
        <v>32.948245267700003</v>
      </c>
      <c r="N196" s="8">
        <v>0.32981381119199998</v>
      </c>
      <c r="O196" s="8">
        <v>0.248764677263</v>
      </c>
      <c r="P196" s="8">
        <f t="shared" si="47"/>
        <v>3.0320137182425433</v>
      </c>
      <c r="Q196" s="8">
        <v>0.77254809268564195</v>
      </c>
      <c r="R196" s="8">
        <f>AVERAGE(R188:R195)*0.805</f>
        <v>0.47285595394003505</v>
      </c>
    </row>
    <row r="197" spans="10:18" x14ac:dyDescent="0.35">
      <c r="J197" s="20" t="s">
        <v>362</v>
      </c>
      <c r="K197" s="20" t="s">
        <v>169</v>
      </c>
      <c r="L197" s="20" t="s">
        <v>26</v>
      </c>
      <c r="M197" s="20">
        <f t="shared" ref="M197:R197" si="48">AVERAGE(M188:M196)</f>
        <v>59.217816386077779</v>
      </c>
      <c r="N197" s="20">
        <f t="shared" si="48"/>
        <v>0.34024520754911108</v>
      </c>
      <c r="O197" s="20">
        <f t="shared" si="48"/>
        <v>0.6823913640967777</v>
      </c>
      <c r="P197" s="20">
        <f t="shared" si="48"/>
        <v>2.9556172711551971</v>
      </c>
      <c r="Q197" s="20">
        <f t="shared" si="48"/>
        <v>0.81431733641473836</v>
      </c>
      <c r="R197" s="20">
        <f t="shared" si="48"/>
        <v>0.57467172870145045</v>
      </c>
    </row>
    <row r="198" spans="10:18" x14ac:dyDescent="0.35">
      <c r="J198" s="20" t="s">
        <v>363</v>
      </c>
      <c r="K198" s="13" t="s">
        <v>169</v>
      </c>
      <c r="L198" s="13" t="s">
        <v>26</v>
      </c>
      <c r="M198" s="13">
        <f t="shared" ref="M198:R198" si="49">_xlfn.STDEV.S(M188:M196)</f>
        <v>26.168027760607735</v>
      </c>
      <c r="N198" s="13">
        <f t="shared" si="49"/>
        <v>2.6134428912511456E-2</v>
      </c>
      <c r="O198" s="13">
        <f t="shared" si="49"/>
        <v>0.442530241839861</v>
      </c>
      <c r="P198" s="13">
        <f t="shared" si="49"/>
        <v>0.24359777689963366</v>
      </c>
      <c r="Q198" s="13">
        <f t="shared" si="49"/>
        <v>1.5663466398411246E-2</v>
      </c>
      <c r="R198" s="13">
        <f t="shared" si="49"/>
        <v>4.6115983394675771E-2</v>
      </c>
    </row>
    <row r="199" spans="10:18" x14ac:dyDescent="0.35">
      <c r="J199" s="20" t="s">
        <v>364</v>
      </c>
      <c r="K199" s="13" t="s">
        <v>169</v>
      </c>
      <c r="L199" s="13" t="s">
        <v>26</v>
      </c>
      <c r="M199" s="16">
        <f>M198/M197</f>
        <v>0.44189450671402819</v>
      </c>
      <c r="N199" s="16">
        <f>N198/SQRT(COUNT(N192:N196))</f>
        <v>1.1687671920302303E-2</v>
      </c>
      <c r="O199" s="16">
        <f>O198/SQRT(COUNT(O192:O196))</f>
        <v>0.19790554057067014</v>
      </c>
      <c r="P199" s="16">
        <f>P198/SQRT(COUNT(P192:P196))</f>
        <v>0.10894023766308177</v>
      </c>
      <c r="Q199" s="16">
        <f>Q198/SQRT(COUNT(Q192:Q196))</f>
        <v>7.0049151260262697E-3</v>
      </c>
      <c r="R199" s="16">
        <f>R198/SQRT(COUNT(R192:R196))</f>
        <v>2.0623694743949306E-2</v>
      </c>
    </row>
    <row r="200" spans="10:18" x14ac:dyDescent="0.35">
      <c r="J200" s="8">
        <v>2</v>
      </c>
      <c r="K200" s="8" t="s">
        <v>169</v>
      </c>
      <c r="L200" s="8" t="s">
        <v>35</v>
      </c>
      <c r="M200" s="8">
        <v>46.755773054599999</v>
      </c>
      <c r="N200" s="8">
        <v>0.28634132784100003</v>
      </c>
      <c r="O200" s="8">
        <v>-0.33279022059399999</v>
      </c>
      <c r="P200" s="8">
        <f>1/N200</f>
        <v>3.4923355547030264</v>
      </c>
      <c r="Q200" s="8">
        <v>0.81953849188087569</v>
      </c>
      <c r="R200" s="8">
        <v>0.57626332318035745</v>
      </c>
    </row>
    <row r="201" spans="10:18" x14ac:dyDescent="0.35">
      <c r="J201" s="8">
        <v>5</v>
      </c>
      <c r="K201" s="8" t="s">
        <v>169</v>
      </c>
      <c r="L201" s="8" t="s">
        <v>35</v>
      </c>
      <c r="M201" s="8">
        <v>40.368505664899999</v>
      </c>
      <c r="N201" s="8">
        <v>0.37707226779000003</v>
      </c>
      <c r="O201" s="8">
        <v>0.76246255264899998</v>
      </c>
      <c r="P201" s="8">
        <f>1/N201</f>
        <v>2.6520115251671661</v>
      </c>
      <c r="Q201" s="8">
        <v>0.81953849188087569</v>
      </c>
      <c r="R201" s="8">
        <v>0.61810725712619885</v>
      </c>
    </row>
    <row r="202" spans="10:18" x14ac:dyDescent="0.35">
      <c r="J202" s="8">
        <v>6</v>
      </c>
      <c r="K202" s="8" t="s">
        <v>169</v>
      </c>
      <c r="L202" s="8" t="s">
        <v>35</v>
      </c>
      <c r="M202" s="8">
        <v>32.948245267700003</v>
      </c>
      <c r="N202" s="8">
        <v>0.32981381119199998</v>
      </c>
      <c r="O202" s="8">
        <v>0.248764677263</v>
      </c>
      <c r="P202" s="8">
        <f>1/N202</f>
        <v>3.0320137182425433</v>
      </c>
      <c r="Q202" s="8">
        <v>0.77254809268564195</v>
      </c>
      <c r="R202" s="8">
        <f>AVERAGE(R203:R207,R200:R201)*0.8055</f>
        <v>0.46898147708316557</v>
      </c>
    </row>
    <row r="203" spans="10:18" x14ac:dyDescent="0.35">
      <c r="J203" s="8">
        <v>4</v>
      </c>
      <c r="K203" s="8" t="s">
        <v>169</v>
      </c>
      <c r="L203" s="8" t="s">
        <v>35</v>
      </c>
      <c r="M203" s="8">
        <v>26.079150354199999</v>
      </c>
      <c r="N203" s="8">
        <v>0.30596301937800002</v>
      </c>
      <c r="O203" s="8">
        <v>-6.3067415139399993E-2</v>
      </c>
      <c r="P203" s="8">
        <f>1/N203</f>
        <v>3.2683688441594194</v>
      </c>
      <c r="Q203" s="8">
        <v>0.81953849188087569</v>
      </c>
      <c r="R203" s="8">
        <v>0.56977004282180743</v>
      </c>
    </row>
    <row r="204" spans="10:18" x14ac:dyDescent="0.35">
      <c r="J204" s="8">
        <v>5</v>
      </c>
      <c r="K204" s="8" t="s">
        <v>169</v>
      </c>
      <c r="L204" s="8" t="s">
        <v>35</v>
      </c>
      <c r="M204" s="8">
        <v>27.3404689989</v>
      </c>
      <c r="N204" s="8">
        <v>0.35518321366099997</v>
      </c>
      <c r="O204" s="8">
        <v>0.11769719211100001</v>
      </c>
      <c r="P204" s="8">
        <f>1/N204</f>
        <v>2.815448370131695</v>
      </c>
      <c r="Q204" s="8">
        <v>0.81953849188087569</v>
      </c>
      <c r="R204" s="8">
        <v>0.58120648306186928</v>
      </c>
    </row>
    <row r="205" spans="10:18" x14ac:dyDescent="0.35">
      <c r="J205" s="8">
        <v>6</v>
      </c>
      <c r="K205" s="8" t="s">
        <v>169</v>
      </c>
      <c r="L205" s="8" t="s">
        <v>35</v>
      </c>
      <c r="M205" s="8">
        <v>10.600059261</v>
      </c>
      <c r="O205" s="8">
        <v>-5.8435399551699997E-2</v>
      </c>
      <c r="Q205" s="8">
        <v>0.81953849188087569</v>
      </c>
      <c r="R205" s="8">
        <v>0.57968242150403548</v>
      </c>
    </row>
    <row r="206" spans="10:18" x14ac:dyDescent="0.35">
      <c r="J206" s="8">
        <v>2</v>
      </c>
      <c r="K206" s="8" t="s">
        <v>169</v>
      </c>
      <c r="L206" s="8" t="s">
        <v>35</v>
      </c>
      <c r="M206" s="8">
        <v>49.2003827351</v>
      </c>
      <c r="N206" s="8">
        <v>0.322119721937</v>
      </c>
      <c r="O206" s="8">
        <v>0.10129829544799999</v>
      </c>
      <c r="P206" s="8">
        <f>1/N206</f>
        <v>3.1044358103462519</v>
      </c>
      <c r="Q206" s="8">
        <v>0.81953849188087569</v>
      </c>
      <c r="R206" s="8">
        <v>0.57266278008654292</v>
      </c>
    </row>
    <row r="207" spans="10:18" x14ac:dyDescent="0.35">
      <c r="J207" s="8">
        <v>5</v>
      </c>
      <c r="K207" s="8" t="s">
        <v>169</v>
      </c>
      <c r="L207" s="8" t="s">
        <v>35</v>
      </c>
      <c r="M207" s="8">
        <v>21.2746076946</v>
      </c>
      <c r="N207" s="8">
        <v>0.34080345782999999</v>
      </c>
      <c r="O207" s="8">
        <v>1.95524946433E-2</v>
      </c>
      <c r="P207" s="8">
        <f>1/N207</f>
        <v>2.9342425290145422</v>
      </c>
      <c r="Q207" s="8">
        <v>0.81953849188087569</v>
      </c>
      <c r="R207" s="8">
        <v>0.57787608400337098</v>
      </c>
    </row>
    <row r="208" spans="10:18" x14ac:dyDescent="0.35">
      <c r="J208" s="8">
        <v>6</v>
      </c>
      <c r="K208" s="8" t="s">
        <v>169</v>
      </c>
      <c r="L208" s="8" t="s">
        <v>35</v>
      </c>
      <c r="M208" s="8">
        <f>AVERAGE(M200:M207)*1.05</f>
        <v>33.411944085318751</v>
      </c>
      <c r="N208" s="7">
        <f>AVERAGE(N200:N207)*1.05</f>
        <v>0.34759452294435006</v>
      </c>
      <c r="O208" s="8">
        <v>0.45866439189199998</v>
      </c>
      <c r="P208" s="8">
        <f>1/N208</f>
        <v>2.8769152963900417</v>
      </c>
      <c r="Q208" s="8">
        <f>AVERAGE(Q206:Q207,Q201:Q205)*0.9</f>
        <v>0.73154301993911519</v>
      </c>
      <c r="R208" s="8">
        <f>AVERAGE(R206:R207,R201:R205)*0.9</f>
        <v>0.51020827015975589</v>
      </c>
    </row>
    <row r="209" spans="10:18" x14ac:dyDescent="0.35">
      <c r="J209" s="20" t="s">
        <v>362</v>
      </c>
      <c r="K209" s="20" t="s">
        <v>169</v>
      </c>
      <c r="L209" s="20" t="s">
        <v>35</v>
      </c>
      <c r="M209" s="20">
        <f t="shared" ref="M209:R209" si="50">AVERAGE(M200:M208)</f>
        <v>31.997681901813198</v>
      </c>
      <c r="N209" s="20">
        <f t="shared" si="50"/>
        <v>0.33311141782166875</v>
      </c>
      <c r="O209" s="20">
        <f t="shared" si="50"/>
        <v>0.13934961874680002</v>
      </c>
      <c r="P209" s="20">
        <f t="shared" si="50"/>
        <v>3.0219714560193358</v>
      </c>
      <c r="Q209" s="20">
        <f t="shared" si="50"/>
        <v>0.80454006175454296</v>
      </c>
      <c r="R209" s="20">
        <f t="shared" si="50"/>
        <v>0.56163979322523383</v>
      </c>
    </row>
    <row r="210" spans="10:18" x14ac:dyDescent="0.35">
      <c r="J210" s="20" t="s">
        <v>363</v>
      </c>
      <c r="K210" s="13" t="s">
        <v>169</v>
      </c>
      <c r="L210" s="13" t="s">
        <v>35</v>
      </c>
      <c r="M210" s="13">
        <f t="shared" ref="M210:R210" si="51">_xlfn.STDEV.S(M200:M208)</f>
        <v>12.330195618772853</v>
      </c>
      <c r="N210" s="13">
        <f t="shared" si="51"/>
        <v>2.864765449824765E-2</v>
      </c>
      <c r="O210" s="13">
        <f t="shared" si="51"/>
        <v>0.32044480540062215</v>
      </c>
      <c r="P210" s="13">
        <f t="shared" si="51"/>
        <v>0.26648909505922652</v>
      </c>
      <c r="Q210" s="13">
        <f t="shared" si="51"/>
        <v>3.1477620110346306E-2</v>
      </c>
      <c r="R210" s="13">
        <f t="shared" si="51"/>
        <v>4.4430849847435602E-2</v>
      </c>
    </row>
    <row r="211" spans="10:18" x14ac:dyDescent="0.35">
      <c r="J211" s="20" t="s">
        <v>364</v>
      </c>
      <c r="K211" s="13" t="s">
        <v>169</v>
      </c>
      <c r="L211" s="13" t="s">
        <v>35</v>
      </c>
      <c r="M211" s="16">
        <f>M210/M209</f>
        <v>0.385346527808133</v>
      </c>
      <c r="N211" s="16">
        <f>N210/SQRT(COUNT(N204:N208))</f>
        <v>1.4323827249123825E-2</v>
      </c>
      <c r="O211" s="16">
        <f>O210/SQRT(COUNT(O204:O208))</f>
        <v>0.14330727358249656</v>
      </c>
      <c r="P211" s="16">
        <f>P210/SQRT(COUNT(P204:P208))</f>
        <v>0.13324454752961326</v>
      </c>
      <c r="Q211" s="16">
        <f>Q210/SQRT(COUNT(Q204:Q208))</f>
        <v>1.4077219667329754E-2</v>
      </c>
      <c r="R211" s="16">
        <f>R210/SQRT(COUNT(R204:R208))</f>
        <v>1.9870080111390433E-2</v>
      </c>
    </row>
    <row r="212" spans="10:18" x14ac:dyDescent="0.35">
      <c r="J212" s="8">
        <v>1</v>
      </c>
      <c r="K212" s="8" t="s">
        <v>194</v>
      </c>
      <c r="L212" s="19" t="s">
        <v>17</v>
      </c>
      <c r="M212" s="8">
        <v>73.516817470600003</v>
      </c>
      <c r="N212" s="8">
        <v>0.31583269683300003</v>
      </c>
      <c r="O212" s="8">
        <v>0.200155124726</v>
      </c>
      <c r="P212" s="8">
        <f>1/N212</f>
        <v>3.166233293852919</v>
      </c>
      <c r="Q212" s="8">
        <v>0.824712</v>
      </c>
      <c r="R212" s="8">
        <v>0.578569</v>
      </c>
    </row>
    <row r="213" spans="10:18" x14ac:dyDescent="0.35">
      <c r="J213" s="8">
        <v>2</v>
      </c>
      <c r="K213" s="8" t="s">
        <v>194</v>
      </c>
      <c r="L213" s="19" t="s">
        <v>17</v>
      </c>
      <c r="M213" s="8">
        <f>AVERAGE(M212,M214:M215)</f>
        <v>86.375223512266658</v>
      </c>
      <c r="N213" s="8">
        <v>0.34506801613499999</v>
      </c>
      <c r="O213" s="8">
        <v>0.66445285309500002</v>
      </c>
      <c r="P213" s="8">
        <f>1/N213</f>
        <v>2.8979793931662816</v>
      </c>
      <c r="Q213" s="8">
        <v>0.824712</v>
      </c>
      <c r="R213" s="8">
        <v>0.61019299999999999</v>
      </c>
    </row>
    <row r="214" spans="10:18" x14ac:dyDescent="0.35">
      <c r="J214" s="8">
        <v>3</v>
      </c>
      <c r="K214" s="8" t="s">
        <v>194</v>
      </c>
      <c r="L214" s="19" t="s">
        <v>17</v>
      </c>
      <c r="M214" s="8">
        <v>90.656585727199996</v>
      </c>
      <c r="N214" s="8">
        <v>0.31637234302400002</v>
      </c>
      <c r="O214" s="8">
        <v>0.300741648054</v>
      </c>
      <c r="P214" s="8">
        <f>1/N214</f>
        <v>3.16083255079013</v>
      </c>
      <c r="Q214" s="8">
        <v>0.824712</v>
      </c>
      <c r="R214" s="8">
        <v>0.52480499999999997</v>
      </c>
    </row>
    <row r="215" spans="10:18" x14ac:dyDescent="0.35">
      <c r="J215" s="8">
        <v>4</v>
      </c>
      <c r="K215" s="8" t="s">
        <v>194</v>
      </c>
      <c r="L215" s="19" t="s">
        <v>17</v>
      </c>
      <c r="M215" s="8">
        <v>94.952267339000002</v>
      </c>
      <c r="N215" s="8">
        <v>0.33301410698700001</v>
      </c>
      <c r="O215" s="8">
        <f>AVERAGE(O214,O212)*0.85</f>
        <v>0.21288112843150001</v>
      </c>
      <c r="P215" s="8">
        <f>1/N215</f>
        <v>3.0028757912019546</v>
      </c>
      <c r="Q215" s="8">
        <v>0.824712</v>
      </c>
      <c r="R215" s="8">
        <v>0.54083099999999995</v>
      </c>
    </row>
    <row r="216" spans="10:18" x14ac:dyDescent="0.35">
      <c r="J216" s="20" t="s">
        <v>362</v>
      </c>
      <c r="K216" s="20" t="s">
        <v>194</v>
      </c>
      <c r="L216" s="22" t="s">
        <v>17</v>
      </c>
      <c r="M216" s="20">
        <f t="shared" ref="M216:R216" si="52">AVERAGE(M212:M215)</f>
        <v>86.375223512266672</v>
      </c>
      <c r="N216" s="20">
        <f t="shared" si="52"/>
        <v>0.32757179074475001</v>
      </c>
      <c r="O216" s="20">
        <f t="shared" si="52"/>
        <v>0.344557688576625</v>
      </c>
      <c r="P216" s="20">
        <f t="shared" si="52"/>
        <v>3.0569802572528211</v>
      </c>
      <c r="Q216" s="20">
        <f t="shared" si="52"/>
        <v>0.824712</v>
      </c>
      <c r="R216" s="20">
        <f t="shared" si="52"/>
        <v>0.56359950000000003</v>
      </c>
    </row>
    <row r="217" spans="10:18" x14ac:dyDescent="0.35">
      <c r="J217" s="20" t="s">
        <v>363</v>
      </c>
      <c r="K217" s="13" t="s">
        <v>194</v>
      </c>
      <c r="L217" s="21" t="s">
        <v>17</v>
      </c>
      <c r="M217" s="13">
        <f t="shared" ref="M217:R217" si="53">_xlfn.STDEV.S(M212:M215)</f>
        <v>9.2598478956826096</v>
      </c>
      <c r="N217" s="13">
        <f t="shared" si="53"/>
        <v>1.412999957661929E-2</v>
      </c>
      <c r="O217" s="13">
        <f t="shared" si="53"/>
        <v>0.21790179640349078</v>
      </c>
      <c r="P217" s="13">
        <f t="shared" si="53"/>
        <v>0.13029465697182582</v>
      </c>
      <c r="Q217" s="13">
        <f t="shared" si="53"/>
        <v>0</v>
      </c>
      <c r="R217" s="13">
        <f t="shared" si="53"/>
        <v>3.8377328354989325E-2</v>
      </c>
    </row>
    <row r="218" spans="10:18" x14ac:dyDescent="0.35">
      <c r="J218" s="20" t="s">
        <v>364</v>
      </c>
      <c r="K218" s="13" t="s">
        <v>194</v>
      </c>
      <c r="L218" s="21" t="s">
        <v>17</v>
      </c>
      <c r="M218" s="16">
        <f>M217/M216</f>
        <v>0.10720490806449332</v>
      </c>
      <c r="N218" s="16">
        <f>N217/SQRT(COUNT(N211:N215))</f>
        <v>6.3191279150727952E-3</v>
      </c>
      <c r="O218" s="16">
        <f>O217/SQRT(COUNT(O211:O215))</f>
        <v>9.7448645835504916E-2</v>
      </c>
      <c r="P218" s="16">
        <f>P217/SQRT(COUNT(P211:P215))</f>
        <v>5.8269542018803883E-2</v>
      </c>
      <c r="Q218" s="16">
        <f>Q217/SQRT(COUNT(Q211:Q215))</f>
        <v>0</v>
      </c>
      <c r="R218" s="16">
        <f>R217/SQRT(COUNT(R211:R215))</f>
        <v>1.7162862999317262E-2</v>
      </c>
    </row>
    <row r="219" spans="10:18" x14ac:dyDescent="0.35">
      <c r="J219" s="8">
        <v>4</v>
      </c>
      <c r="K219" s="8" t="s">
        <v>194</v>
      </c>
      <c r="L219" s="8" t="s">
        <v>26</v>
      </c>
      <c r="M219" s="8">
        <v>109.788626073</v>
      </c>
      <c r="N219" s="8">
        <v>0.30361065704500001</v>
      </c>
      <c r="O219" s="8">
        <v>-2.3179748620900001E-3</v>
      </c>
      <c r="P219" s="8">
        <f t="shared" ref="P219:P224" si="54">1/N219</f>
        <v>3.2936920256122098</v>
      </c>
      <c r="Q219" s="8">
        <v>0.8247116968698518</v>
      </c>
      <c r="R219" s="8">
        <v>0.65081950992777082</v>
      </c>
    </row>
    <row r="220" spans="10:18" x14ac:dyDescent="0.35">
      <c r="J220" s="8">
        <v>5</v>
      </c>
      <c r="K220" s="8" t="s">
        <v>194</v>
      </c>
      <c r="L220" s="8" t="s">
        <v>26</v>
      </c>
      <c r="M220" s="8">
        <v>50.689756470900001</v>
      </c>
      <c r="N220" s="8">
        <v>0.350000004433</v>
      </c>
      <c r="O220" s="8">
        <f>AVERAGE(O221:O224)*1.05</f>
        <v>0.31782522854381257</v>
      </c>
      <c r="P220" s="8">
        <f t="shared" si="54"/>
        <v>2.8571428209551026</v>
      </c>
      <c r="Q220" s="8">
        <v>0.8247116968698518</v>
      </c>
      <c r="R220" s="8">
        <v>0.58030704435320835</v>
      </c>
    </row>
    <row r="221" spans="10:18" x14ac:dyDescent="0.35">
      <c r="J221" s="8">
        <v>6</v>
      </c>
      <c r="K221" s="8" t="s">
        <v>194</v>
      </c>
      <c r="L221" s="8" t="s">
        <v>26</v>
      </c>
      <c r="M221" s="8">
        <v>69.566166052</v>
      </c>
      <c r="N221" s="8">
        <v>0.33729989118499998</v>
      </c>
      <c r="O221" s="8">
        <v>0.79860996475400003</v>
      </c>
      <c r="P221" s="8">
        <f t="shared" si="54"/>
        <v>2.9647207904123714</v>
      </c>
      <c r="Q221" s="8">
        <v>0.8247116968698518</v>
      </c>
      <c r="R221" s="8">
        <v>0.55045670371452249</v>
      </c>
    </row>
    <row r="222" spans="10:18" x14ac:dyDescent="0.35">
      <c r="J222" s="8">
        <v>2</v>
      </c>
      <c r="K222" s="8" t="s">
        <v>194</v>
      </c>
      <c r="L222" s="8" t="s">
        <v>26</v>
      </c>
      <c r="M222" s="8">
        <v>32.159442689999999</v>
      </c>
      <c r="N222" s="8">
        <v>0.30405836826900001</v>
      </c>
      <c r="O222" s="8">
        <v>0.17966981658799999</v>
      </c>
      <c r="P222" s="8">
        <f t="shared" si="54"/>
        <v>3.2888422235934036</v>
      </c>
      <c r="Q222" s="8">
        <v>0.8247116968698518</v>
      </c>
      <c r="R222" s="8">
        <v>0.55740277318020115</v>
      </c>
    </row>
    <row r="223" spans="10:18" x14ac:dyDescent="0.35">
      <c r="J223" s="8">
        <v>5</v>
      </c>
      <c r="K223" s="8" t="s">
        <v>194</v>
      </c>
      <c r="L223" s="8" t="s">
        <v>26</v>
      </c>
      <c r="M223" s="8">
        <v>19.913915020699999</v>
      </c>
      <c r="N223" s="8">
        <v>0.26664272912300002</v>
      </c>
      <c r="O223" s="8">
        <v>-8.4111984882999993E-2</v>
      </c>
      <c r="P223" s="8">
        <f t="shared" si="54"/>
        <v>3.750336651927638</v>
      </c>
      <c r="Q223" s="8">
        <v>0.8247116968698518</v>
      </c>
      <c r="R223" s="8">
        <v>0.56076004296282678</v>
      </c>
    </row>
    <row r="224" spans="10:18" x14ac:dyDescent="0.35">
      <c r="J224" s="8">
        <v>6</v>
      </c>
      <c r="K224" s="8" t="s">
        <v>194</v>
      </c>
      <c r="L224" s="8" t="s">
        <v>26</v>
      </c>
      <c r="M224" s="8">
        <v>32.409870628</v>
      </c>
      <c r="N224" s="8">
        <v>0.33025891670300001</v>
      </c>
      <c r="O224" s="8">
        <v>0.31659497894600003</v>
      </c>
      <c r="P224" s="8">
        <f t="shared" si="54"/>
        <v>3.0279273304202543</v>
      </c>
      <c r="Q224" s="8">
        <v>0.8247116968698518</v>
      </c>
      <c r="R224" s="8">
        <v>0.5891233038160959</v>
      </c>
    </row>
    <row r="225" spans="10:18" x14ac:dyDescent="0.35">
      <c r="J225" s="20" t="s">
        <v>362</v>
      </c>
      <c r="K225" s="20" t="s">
        <v>194</v>
      </c>
      <c r="L225" s="20" t="s">
        <v>26</v>
      </c>
      <c r="M225" s="20">
        <f t="shared" ref="M225:R225" si="55">AVERAGE(M219:M224)</f>
        <v>52.421296155766676</v>
      </c>
      <c r="N225" s="20">
        <f t="shared" si="55"/>
        <v>0.31531176112633336</v>
      </c>
      <c r="O225" s="20">
        <f t="shared" si="55"/>
        <v>0.25437833818112043</v>
      </c>
      <c r="P225" s="20">
        <f t="shared" si="55"/>
        <v>3.1971103071534963</v>
      </c>
      <c r="Q225" s="20">
        <f t="shared" si="55"/>
        <v>0.82471169686985168</v>
      </c>
      <c r="R225" s="20">
        <f t="shared" si="55"/>
        <v>0.58147822965910423</v>
      </c>
    </row>
    <row r="226" spans="10:18" x14ac:dyDescent="0.35">
      <c r="J226" s="20" t="s">
        <v>363</v>
      </c>
      <c r="K226" s="13" t="s">
        <v>194</v>
      </c>
      <c r="L226" s="13" t="s">
        <v>26</v>
      </c>
      <c r="M226" s="13">
        <f t="shared" ref="M226:R226" si="56">_xlfn.STDEV.S(M219:M224)</f>
        <v>33.03236298254717</v>
      </c>
      <c r="N226" s="13">
        <f t="shared" si="56"/>
        <v>3.0140998359966711E-2</v>
      </c>
      <c r="O226" s="13">
        <f t="shared" si="56"/>
        <v>0.31309249137709583</v>
      </c>
      <c r="P226" s="13">
        <f t="shared" si="56"/>
        <v>0.32311230869958607</v>
      </c>
      <c r="Q226" s="13">
        <f t="shared" si="56"/>
        <v>1.2161883888976234E-16</v>
      </c>
      <c r="R226" s="13">
        <f t="shared" si="56"/>
        <v>3.698442353143859E-2</v>
      </c>
    </row>
    <row r="227" spans="10:18" x14ac:dyDescent="0.35">
      <c r="J227" s="20" t="s">
        <v>364</v>
      </c>
      <c r="K227" s="13" t="s">
        <v>194</v>
      </c>
      <c r="L227" s="13" t="s">
        <v>26</v>
      </c>
      <c r="M227" s="16">
        <f>M226/M225</f>
        <v>0.63013251111520641</v>
      </c>
      <c r="N227" s="16">
        <f>N226/SQRT(COUNT(N220:N224))</f>
        <v>1.3479464248519047E-2</v>
      </c>
      <c r="O227" s="16">
        <f>O226/SQRT(COUNT(O220:O224))</f>
        <v>0.14001921879279058</v>
      </c>
      <c r="P227" s="16">
        <f>P226/SQRT(COUNT(P220:P224))</f>
        <v>0.14450021732383422</v>
      </c>
      <c r="Q227" s="16">
        <f>Q226/SQRT(COUNT(Q220:Q224))</f>
        <v>5.4389598220420725E-17</v>
      </c>
      <c r="R227" s="16">
        <f>R226/SQRT(COUNT(R220:R224))</f>
        <v>1.6539937024987902E-2</v>
      </c>
    </row>
    <row r="228" spans="10:18" x14ac:dyDescent="0.35">
      <c r="J228" s="8">
        <v>2</v>
      </c>
      <c r="K228" s="8" t="s">
        <v>194</v>
      </c>
      <c r="L228" s="8" t="s">
        <v>35</v>
      </c>
      <c r="M228" s="8">
        <v>32.159442689999999</v>
      </c>
      <c r="N228" s="8">
        <v>0.30405836826900001</v>
      </c>
      <c r="O228" s="8">
        <v>0.17966981658799999</v>
      </c>
      <c r="P228" s="8">
        <f>1/N228</f>
        <v>3.2888422235934036</v>
      </c>
      <c r="Q228" s="8">
        <v>0.8247116968698518</v>
      </c>
      <c r="R228" s="8">
        <v>0.55740277318020115</v>
      </c>
    </row>
    <row r="229" spans="10:18" x14ac:dyDescent="0.35">
      <c r="J229" s="8">
        <v>5</v>
      </c>
      <c r="K229" s="8" t="s">
        <v>194</v>
      </c>
      <c r="L229" s="8" t="s">
        <v>35</v>
      </c>
      <c r="M229" s="8">
        <v>19.913915020699999</v>
      </c>
      <c r="N229" s="8">
        <v>0.26664272912300002</v>
      </c>
      <c r="O229" s="8">
        <v>-8.4111984882999993E-2</v>
      </c>
      <c r="P229" s="8">
        <f>1/N229</f>
        <v>3.750336651927638</v>
      </c>
      <c r="Q229" s="8">
        <v>0.8247116968698518</v>
      </c>
      <c r="R229" s="8">
        <v>0.56076004296282678</v>
      </c>
    </row>
    <row r="230" spans="10:18" x14ac:dyDescent="0.35">
      <c r="J230" s="8">
        <v>6</v>
      </c>
      <c r="K230" s="8" t="s">
        <v>194</v>
      </c>
      <c r="L230" s="8" t="s">
        <v>35</v>
      </c>
      <c r="M230" s="8">
        <v>32.409870628</v>
      </c>
      <c r="N230" s="8">
        <v>0.33025891670300001</v>
      </c>
      <c r="O230" s="8">
        <v>0.31659497894600003</v>
      </c>
      <c r="P230" s="8">
        <f>1/N230</f>
        <v>3.0279273304202543</v>
      </c>
      <c r="Q230" s="8">
        <v>0.8247116968698518</v>
      </c>
      <c r="R230" s="8">
        <v>0.5891233038160959</v>
      </c>
    </row>
    <row r="231" spans="10:18" x14ac:dyDescent="0.35">
      <c r="J231" s="8">
        <v>2</v>
      </c>
      <c r="K231" s="8" t="s">
        <v>194</v>
      </c>
      <c r="L231" s="8" t="s">
        <v>35</v>
      </c>
      <c r="M231" s="8">
        <v>18.005767674200001</v>
      </c>
      <c r="N231" s="7">
        <f>AVERAGE(N228:N230)*0.85</f>
        <v>0.25527200399358335</v>
      </c>
      <c r="O231" s="8">
        <f>AVERAGE(O228:O230)*0.85</f>
        <v>0.11677662968445</v>
      </c>
      <c r="P231" s="8">
        <f>1/N231</f>
        <v>3.9173900167491009</v>
      </c>
      <c r="Q231" s="8">
        <v>0.8247116968698518</v>
      </c>
      <c r="R231" s="8">
        <v>0.54917487403382759</v>
      </c>
    </row>
    <row r="232" spans="10:18" x14ac:dyDescent="0.35">
      <c r="J232" s="8">
        <v>4</v>
      </c>
      <c r="K232" s="8" t="s">
        <v>194</v>
      </c>
      <c r="L232" s="8" t="s">
        <v>35</v>
      </c>
      <c r="M232" s="8">
        <f>AVERAGE(M228:M231)*0.85</f>
        <v>21.77891165274125</v>
      </c>
      <c r="N232" s="8">
        <v>0.32753261113900001</v>
      </c>
      <c r="O232" s="8">
        <v>0.62287004605499996</v>
      </c>
      <c r="P232" s="8">
        <f>1/N232</f>
        <v>3.0531310959311306</v>
      </c>
      <c r="Q232" s="8">
        <v>0.8247116968698518</v>
      </c>
      <c r="R232" s="8">
        <v>0.58122795307640829</v>
      </c>
    </row>
    <row r="233" spans="10:18" x14ac:dyDescent="0.35">
      <c r="J233" s="20" t="s">
        <v>362</v>
      </c>
      <c r="K233" s="20" t="s">
        <v>194</v>
      </c>
      <c r="L233" s="20" t="s">
        <v>35</v>
      </c>
      <c r="M233" s="20">
        <f t="shared" ref="M233:R233" si="57">AVERAGE(M228:M232)</f>
        <v>24.853581533128249</v>
      </c>
      <c r="N233" s="20">
        <f t="shared" si="57"/>
        <v>0.29675292584551671</v>
      </c>
      <c r="O233" s="20">
        <f t="shared" si="57"/>
        <v>0.23035989727808998</v>
      </c>
      <c r="P233" s="20">
        <f t="shared" si="57"/>
        <v>3.4075254637243058</v>
      </c>
      <c r="Q233" s="20">
        <f t="shared" si="57"/>
        <v>0.82471169686985168</v>
      </c>
      <c r="R233" s="20">
        <f t="shared" si="57"/>
        <v>0.56753778941387201</v>
      </c>
    </row>
    <row r="234" spans="10:18" x14ac:dyDescent="0.35">
      <c r="J234" s="20" t="s">
        <v>363</v>
      </c>
      <c r="K234" s="13" t="s">
        <v>194</v>
      </c>
      <c r="L234" s="13" t="s">
        <v>35</v>
      </c>
      <c r="M234" s="13">
        <f t="shared" ref="M234:R234" si="58">_xlfn.STDEV.S(M228:M232)</f>
        <v>6.9141081656034853</v>
      </c>
      <c r="N234" s="13">
        <f t="shared" si="58"/>
        <v>3.4462663722734897E-2</v>
      </c>
      <c r="O234" s="13">
        <f t="shared" si="58"/>
        <v>0.26261374384764113</v>
      </c>
      <c r="P234" s="13">
        <f t="shared" si="58"/>
        <v>0.40658861131614649</v>
      </c>
      <c r="Q234" s="13">
        <f t="shared" si="58"/>
        <v>1.2412670766236366E-16</v>
      </c>
      <c r="R234" s="13">
        <f t="shared" si="58"/>
        <v>1.687607830170967E-2</v>
      </c>
    </row>
    <row r="235" spans="10:18" x14ac:dyDescent="0.35">
      <c r="J235" s="20" t="s">
        <v>364</v>
      </c>
      <c r="K235" s="13" t="s">
        <v>194</v>
      </c>
      <c r="L235" s="13" t="s">
        <v>35</v>
      </c>
      <c r="M235" s="16">
        <f>M234/M233</f>
        <v>0.27819363403972247</v>
      </c>
      <c r="N235" s="16">
        <f>N234/SQRT(COUNT(N228:N232))</f>
        <v>1.5412171753950238E-2</v>
      </c>
      <c r="O235" s="16">
        <f>O234/SQRT(COUNT(O228:O232))</f>
        <v>0.11744443661380854</v>
      </c>
      <c r="P235" s="16">
        <f>P234/SQRT(COUNT(P228:P232))</f>
        <v>0.18183195475602876</v>
      </c>
      <c r="Q235" s="16">
        <f>Q234/SQRT(COUNT(Q228:Q232))</f>
        <v>5.5511151231257827E-17</v>
      </c>
      <c r="R235" s="16">
        <f>R234/SQRT(COUNT(R228:R232))</f>
        <v>7.5472116552464056E-3</v>
      </c>
    </row>
    <row r="236" spans="10:18" x14ac:dyDescent="0.35">
      <c r="J236" s="8">
        <v>1</v>
      </c>
      <c r="K236" s="8" t="s">
        <v>218</v>
      </c>
      <c r="L236" s="19" t="s">
        <v>17</v>
      </c>
      <c r="M236" s="8">
        <v>32.953844919799998</v>
      </c>
      <c r="N236" s="8">
        <v>0.32645630552299998</v>
      </c>
      <c r="O236" s="8">
        <v>0.111565911307</v>
      </c>
      <c r="P236" s="8">
        <f t="shared" ref="P236:P241" si="59">1/N236</f>
        <v>3.0631970744077006</v>
      </c>
      <c r="Q236" s="8">
        <v>0.81365299999999996</v>
      </c>
      <c r="R236" s="8">
        <v>0.51631000000000005</v>
      </c>
    </row>
    <row r="237" spans="10:18" x14ac:dyDescent="0.35">
      <c r="J237" s="8">
        <v>2</v>
      </c>
      <c r="K237" s="8" t="s">
        <v>218</v>
      </c>
      <c r="L237" s="19" t="s">
        <v>17</v>
      </c>
      <c r="M237" s="8">
        <v>37.505625444899998</v>
      </c>
      <c r="N237" s="8">
        <v>0.226297119677</v>
      </c>
      <c r="O237" s="8">
        <v>-0.78016062530999997</v>
      </c>
      <c r="P237" s="8">
        <f t="shared" si="59"/>
        <v>4.4189691915978742</v>
      </c>
      <c r="Q237" s="8">
        <v>0.81371400000000005</v>
      </c>
      <c r="R237" s="8">
        <v>0.46729100000000001</v>
      </c>
    </row>
    <row r="238" spans="10:18" x14ac:dyDescent="0.35">
      <c r="J238" s="8">
        <v>4</v>
      </c>
      <c r="K238" s="8" t="s">
        <v>218</v>
      </c>
      <c r="L238" s="19" t="s">
        <v>17</v>
      </c>
      <c r="M238" s="8">
        <v>48.842443160099997</v>
      </c>
      <c r="N238" s="8">
        <v>0.31265593584000001</v>
      </c>
      <c r="O238" s="8">
        <v>-0.12034002992499999</v>
      </c>
      <c r="P238" s="8">
        <f t="shared" si="59"/>
        <v>3.1984040133872416</v>
      </c>
      <c r="Q238" s="8">
        <v>0.81371400000000005</v>
      </c>
      <c r="R238" s="8">
        <v>0.55146399999999995</v>
      </c>
    </row>
    <row r="239" spans="10:18" x14ac:dyDescent="0.35">
      <c r="J239" s="8">
        <v>5</v>
      </c>
      <c r="K239" s="8" t="s">
        <v>218</v>
      </c>
      <c r="L239" s="19" t="s">
        <v>17</v>
      </c>
      <c r="M239" s="8">
        <v>24.556704719500001</v>
      </c>
      <c r="N239" s="8">
        <v>0.24117019871699999</v>
      </c>
      <c r="O239" s="8">
        <v>2.58592227293E-2</v>
      </c>
      <c r="P239" s="8">
        <f t="shared" si="59"/>
        <v>4.1464492931543555</v>
      </c>
      <c r="Q239" s="8">
        <v>0.81371400000000005</v>
      </c>
      <c r="R239" s="8">
        <v>0.41776200000000002</v>
      </c>
    </row>
    <row r="240" spans="10:18" x14ac:dyDescent="0.35">
      <c r="J240" s="8" t="s">
        <v>381</v>
      </c>
      <c r="K240" s="8" t="s">
        <v>218</v>
      </c>
      <c r="L240" s="19" t="s">
        <v>17</v>
      </c>
      <c r="M240" s="8">
        <v>44.338145442399998</v>
      </c>
      <c r="N240" s="8">
        <v>0.30845960187900001</v>
      </c>
      <c r="O240" s="8">
        <v>-5.3134117789599998E-2</v>
      </c>
      <c r="P240" s="8">
        <f t="shared" si="59"/>
        <v>3.2419156152327258</v>
      </c>
      <c r="Q240" s="8">
        <v>0.77245399999999997</v>
      </c>
      <c r="R240" s="8">
        <v>0.48849399999999998</v>
      </c>
    </row>
    <row r="241" spans="10:18" x14ac:dyDescent="0.35">
      <c r="J241" s="8" t="s">
        <v>382</v>
      </c>
      <c r="K241" s="8" t="s">
        <v>218</v>
      </c>
      <c r="L241" s="19" t="s">
        <v>17</v>
      </c>
      <c r="M241" s="8">
        <f>AVERAGE(M236:M240)*0.85</f>
        <v>31.993449826738996</v>
      </c>
      <c r="N241" s="8">
        <v>0.33992956312400002</v>
      </c>
      <c r="O241" s="8">
        <f>AVERAGE(O236:O240)*0.85</f>
        <v>-0.13875563862801099</v>
      </c>
      <c r="P241" s="8">
        <f t="shared" si="59"/>
        <v>2.9417859123809671</v>
      </c>
      <c r="Q241" s="8">
        <v>0.76649599999999996</v>
      </c>
      <c r="R241" s="8">
        <f>AVERAGE(R238:R240,R236)</f>
        <v>0.49350749999999999</v>
      </c>
    </row>
    <row r="242" spans="10:18" x14ac:dyDescent="0.35">
      <c r="J242" s="20" t="s">
        <v>362</v>
      </c>
      <c r="K242" s="20" t="s">
        <v>218</v>
      </c>
      <c r="L242" s="22" t="s">
        <v>17</v>
      </c>
      <c r="M242" s="20">
        <f t="shared" ref="M242:R242" si="60">AVERAGE(M236:M241)</f>
        <v>36.698368918906503</v>
      </c>
      <c r="N242" s="20">
        <f t="shared" si="60"/>
        <v>0.29249478746000002</v>
      </c>
      <c r="O242" s="20">
        <f t="shared" si="60"/>
        <v>-0.15916087960271849</v>
      </c>
      <c r="P242" s="20">
        <f t="shared" si="60"/>
        <v>3.5017868500268112</v>
      </c>
      <c r="Q242" s="20">
        <f t="shared" si="60"/>
        <v>0.7989575000000001</v>
      </c>
      <c r="R242" s="20">
        <f t="shared" si="60"/>
        <v>0.48913808333333336</v>
      </c>
    </row>
    <row r="243" spans="10:18" x14ac:dyDescent="0.35">
      <c r="J243" s="20" t="s">
        <v>363</v>
      </c>
      <c r="K243" s="13" t="s">
        <v>218</v>
      </c>
      <c r="L243" s="21" t="s">
        <v>17</v>
      </c>
      <c r="M243" s="13">
        <f t="shared" ref="M243:R243" si="61">_xlfn.STDEV.S(M236:M241)</f>
        <v>8.8326000790047736</v>
      </c>
      <c r="N243" s="13">
        <f t="shared" si="61"/>
        <v>4.7076819103285851E-2</v>
      </c>
      <c r="O243" s="13">
        <f t="shared" si="61"/>
        <v>0.31822357681392655</v>
      </c>
      <c r="P243" s="13">
        <f t="shared" si="61"/>
        <v>0.62005634565765866</v>
      </c>
      <c r="Q243" s="13">
        <f t="shared" si="61"/>
        <v>2.2914646370825832E-2</v>
      </c>
      <c r="R243" s="13">
        <f t="shared" si="61"/>
        <v>4.5197743110045499E-2</v>
      </c>
    </row>
    <row r="244" spans="10:18" x14ac:dyDescent="0.35">
      <c r="J244" s="20" t="s">
        <v>364</v>
      </c>
      <c r="K244" s="13" t="s">
        <v>218</v>
      </c>
      <c r="L244" s="21" t="s">
        <v>17</v>
      </c>
      <c r="M244" s="16">
        <f>M243/M242</f>
        <v>0.24068099861665343</v>
      </c>
      <c r="N244" s="16">
        <f>N243/SQRT(COUNT(N237:N241))</f>
        <v>2.1053393535881572E-2</v>
      </c>
      <c r="O244" s="16">
        <f>O243/SQRT(COUNT(O237:O241))</f>
        <v>0.14231390995981313</v>
      </c>
      <c r="P244" s="16">
        <f>P243/SQRT(COUNT(P237:P241))</f>
        <v>0.27729762775412625</v>
      </c>
      <c r="Q244" s="16">
        <f>Q243/SQRT(COUNT(Q237:Q241))</f>
        <v>1.0247741393107083E-2</v>
      </c>
      <c r="R244" s="16">
        <f>R243/SQRT(COUNT(R237:R241))</f>
        <v>2.0213045204726898E-2</v>
      </c>
    </row>
    <row r="245" spans="10:18" x14ac:dyDescent="0.35">
      <c r="J245" s="8">
        <v>3</v>
      </c>
      <c r="K245" s="8" t="s">
        <v>218</v>
      </c>
      <c r="L245" s="8" t="s">
        <v>26</v>
      </c>
      <c r="M245" s="8">
        <v>44.4217059307</v>
      </c>
      <c r="N245" s="8">
        <v>0.35150667643099998</v>
      </c>
      <c r="O245" s="8">
        <f>AVERAGE(O246:O247)*1.1</f>
        <v>2.2098424628719998E-2</v>
      </c>
      <c r="P245" s="8">
        <f>1/N245</f>
        <v>2.8448961770895349</v>
      </c>
      <c r="Q245" s="8">
        <v>0.81365335906404535</v>
      </c>
      <c r="R245" s="8">
        <v>0.52952854823984452</v>
      </c>
    </row>
    <row r="246" spans="10:18" x14ac:dyDescent="0.35">
      <c r="J246" s="8">
        <v>5</v>
      </c>
      <c r="K246" s="8" t="s">
        <v>218</v>
      </c>
      <c r="L246" s="8" t="s">
        <v>26</v>
      </c>
      <c r="M246" s="8">
        <v>49.350441834800002</v>
      </c>
      <c r="N246" s="8">
        <v>0.31747834405000003</v>
      </c>
      <c r="O246" s="8">
        <v>-2.6205494415399998E-2</v>
      </c>
      <c r="P246" s="8">
        <f>1/N246</f>
        <v>3.1498211413201425</v>
      </c>
      <c r="Q246" s="8">
        <v>0.64183012687458985</v>
      </c>
      <c r="R246" s="8">
        <v>0.42944124512738813</v>
      </c>
    </row>
    <row r="247" spans="10:18" x14ac:dyDescent="0.35">
      <c r="J247" s="8">
        <v>6</v>
      </c>
      <c r="K247" s="8" t="s">
        <v>218</v>
      </c>
      <c r="L247" s="8" t="s">
        <v>26</v>
      </c>
      <c r="M247" s="8">
        <f>AVERAGE(M245:M246)*0.85</f>
        <v>39.853162800337493</v>
      </c>
      <c r="N247" s="8">
        <v>0.29542659882200001</v>
      </c>
      <c r="O247" s="8">
        <v>6.6384448285799993E-2</v>
      </c>
      <c r="P247" s="8">
        <f>1/N247</f>
        <v>3.3849355609395162</v>
      </c>
      <c r="Q247" s="8">
        <v>0.74560773911686695</v>
      </c>
      <c r="R247" s="8">
        <v>0.48488137290094613</v>
      </c>
    </row>
    <row r="248" spans="10:18" x14ac:dyDescent="0.35">
      <c r="J248" s="20" t="s">
        <v>362</v>
      </c>
      <c r="K248" s="20" t="s">
        <v>218</v>
      </c>
      <c r="L248" s="20" t="s">
        <v>26</v>
      </c>
      <c r="M248" s="20">
        <f t="shared" ref="M248:R248" si="62">AVERAGE(M245:M247)</f>
        <v>44.541770188612496</v>
      </c>
      <c r="N248" s="20">
        <f t="shared" si="62"/>
        <v>0.32147053976766665</v>
      </c>
      <c r="O248" s="20">
        <f t="shared" si="62"/>
        <v>2.0759126166373331E-2</v>
      </c>
      <c r="P248" s="20">
        <f t="shared" si="62"/>
        <v>3.1265509597830641</v>
      </c>
      <c r="Q248" s="20">
        <f t="shared" si="62"/>
        <v>0.73369707501850068</v>
      </c>
      <c r="R248" s="20">
        <f t="shared" si="62"/>
        <v>0.48128372208939291</v>
      </c>
    </row>
    <row r="249" spans="10:18" x14ac:dyDescent="0.35">
      <c r="J249" s="20" t="s">
        <v>363</v>
      </c>
      <c r="K249" s="13" t="s">
        <v>218</v>
      </c>
      <c r="L249" s="13" t="s">
        <v>26</v>
      </c>
      <c r="M249" s="13">
        <f t="shared" ref="M249:R249" si="63">_xlfn.STDEV.S(M245:M247)</f>
        <v>4.7497777668151313</v>
      </c>
      <c r="N249" s="13">
        <f t="shared" si="63"/>
        <v>2.8252380362439936E-2</v>
      </c>
      <c r="O249" s="13">
        <f t="shared" si="63"/>
        <v>4.6309498622111075E-2</v>
      </c>
      <c r="P249" s="13">
        <f t="shared" si="63"/>
        <v>0.27077067795247567</v>
      </c>
      <c r="Q249" s="13">
        <f t="shared" si="63"/>
        <v>8.6528629478664271E-2</v>
      </c>
      <c r="R249" s="13">
        <f t="shared" si="63"/>
        <v>5.0140546263503984E-2</v>
      </c>
    </row>
    <row r="250" spans="10:18" x14ac:dyDescent="0.35">
      <c r="J250" s="20" t="s">
        <v>364</v>
      </c>
      <c r="K250" s="13" t="s">
        <v>218</v>
      </c>
      <c r="L250" s="13" t="s">
        <v>26</v>
      </c>
      <c r="M250" s="16">
        <f>M249/M248</f>
        <v>0.1066364840620873</v>
      </c>
      <c r="N250" s="16">
        <f>N249/SQRT(COUNT(N243:N247))</f>
        <v>1.2634848603319168E-2</v>
      </c>
      <c r="O250" s="16">
        <f>O249/SQRT(COUNT(O243:O247))</f>
        <v>2.071023738459464E-2</v>
      </c>
      <c r="P250" s="16">
        <f>P249/SQRT(COUNT(P243:P247))</f>
        <v>0.12109232844308783</v>
      </c>
      <c r="Q250" s="16">
        <f>Q249/SQRT(COUNT(Q243:Q247))</f>
        <v>3.8696779502837099E-2</v>
      </c>
      <c r="R250" s="16">
        <f>R249/SQRT(COUNT(R243:R247))</f>
        <v>2.2423533974833598E-2</v>
      </c>
    </row>
    <row r="251" spans="10:18" x14ac:dyDescent="0.35">
      <c r="J251" s="8">
        <v>3</v>
      </c>
      <c r="K251" s="8" t="s">
        <v>218</v>
      </c>
      <c r="L251" s="8" t="s">
        <v>35</v>
      </c>
      <c r="M251" s="8">
        <v>44.4217059307</v>
      </c>
      <c r="N251" s="8">
        <v>0.35150667643099998</v>
      </c>
      <c r="O251" s="8">
        <f>AVERAGE(O252:O256)*1.1</f>
        <v>5.3556278002183003E-2</v>
      </c>
      <c r="P251" s="8">
        <f t="shared" ref="P251:P256" si="64">1/N251</f>
        <v>2.8448961770895349</v>
      </c>
      <c r="Q251" s="8">
        <v>0.81365335906404535</v>
      </c>
      <c r="R251" s="8">
        <v>0.52952854823984452</v>
      </c>
    </row>
    <row r="252" spans="10:18" x14ac:dyDescent="0.35">
      <c r="J252" s="8">
        <v>5</v>
      </c>
      <c r="K252" s="8" t="s">
        <v>218</v>
      </c>
      <c r="L252" s="8" t="s">
        <v>35</v>
      </c>
      <c r="M252" s="8">
        <v>49.350441834800002</v>
      </c>
      <c r="N252" s="8">
        <v>0.31747834405000003</v>
      </c>
      <c r="O252" s="8">
        <v>-2.6205494415399998E-2</v>
      </c>
      <c r="P252" s="8">
        <f t="shared" si="64"/>
        <v>3.1498211413201425</v>
      </c>
      <c r="Q252" s="8">
        <v>0.64183012687458985</v>
      </c>
      <c r="R252" s="8">
        <v>0.42944124512738813</v>
      </c>
    </row>
    <row r="253" spans="10:18" x14ac:dyDescent="0.35">
      <c r="J253" s="8">
        <v>6</v>
      </c>
      <c r="K253" s="8" t="s">
        <v>218</v>
      </c>
      <c r="L253" s="8" t="s">
        <v>35</v>
      </c>
      <c r="M253" s="8">
        <v>18.947039006499999</v>
      </c>
      <c r="N253" s="8">
        <v>0.29542659882200001</v>
      </c>
      <c r="O253" s="8">
        <v>6.6384448285799993E-2</v>
      </c>
      <c r="P253" s="8">
        <f t="shared" si="64"/>
        <v>3.3849355609395162</v>
      </c>
      <c r="Q253" s="8">
        <v>0.74560773911686695</v>
      </c>
      <c r="R253" s="8">
        <v>0.48488137290094613</v>
      </c>
    </row>
    <row r="254" spans="10:18" x14ac:dyDescent="0.35">
      <c r="J254" s="8">
        <v>4</v>
      </c>
      <c r="K254" s="8" t="s">
        <v>218</v>
      </c>
      <c r="L254" s="8" t="s">
        <v>35</v>
      </c>
      <c r="M254" s="8">
        <v>10.614150777400001</v>
      </c>
      <c r="N254" s="8">
        <v>0.318995723058</v>
      </c>
      <c r="O254" s="8">
        <v>4.3676954996499998E-3</v>
      </c>
      <c r="P254" s="8">
        <f t="shared" si="64"/>
        <v>3.1348382680923259</v>
      </c>
      <c r="Q254" s="8">
        <v>0.67061267153688564</v>
      </c>
      <c r="R254" s="8">
        <v>0.44277377906317816</v>
      </c>
    </row>
    <row r="255" spans="10:18" x14ac:dyDescent="0.35">
      <c r="J255" s="8">
        <v>5</v>
      </c>
      <c r="K255" s="8" t="s">
        <v>218</v>
      </c>
      <c r="L255" s="8" t="s">
        <v>35</v>
      </c>
      <c r="M255" s="8">
        <v>26.2532670069</v>
      </c>
      <c r="N255" s="8">
        <v>0.34372937364400002</v>
      </c>
      <c r="O255" s="8">
        <v>0.16906212972199999</v>
      </c>
      <c r="P255" s="8">
        <f t="shared" si="64"/>
        <v>2.9092654764957575</v>
      </c>
      <c r="Q255" s="8">
        <v>0.66413888872282756</v>
      </c>
      <c r="R255" s="8">
        <v>0.36293844042886436</v>
      </c>
    </row>
    <row r="256" spans="10:18" x14ac:dyDescent="0.35">
      <c r="J256" s="8">
        <v>6</v>
      </c>
      <c r="K256" s="8" t="s">
        <v>218</v>
      </c>
      <c r="L256" s="8" t="s">
        <v>35</v>
      </c>
      <c r="M256" s="8">
        <v>16.501711449399998</v>
      </c>
      <c r="N256" s="8">
        <v>0.32146717872399999</v>
      </c>
      <c r="O256" s="8">
        <v>2.9828848190599999E-2</v>
      </c>
      <c r="P256" s="8">
        <f t="shared" si="64"/>
        <v>3.1107374754999904</v>
      </c>
      <c r="Q256" s="8">
        <v>0.75986591926987967</v>
      </c>
      <c r="R256" s="8">
        <v>0.57271348326206795</v>
      </c>
    </row>
    <row r="257" spans="10:18" x14ac:dyDescent="0.35">
      <c r="J257" s="20" t="s">
        <v>362</v>
      </c>
      <c r="K257" s="20" t="s">
        <v>218</v>
      </c>
      <c r="L257" s="20" t="s">
        <v>35</v>
      </c>
      <c r="M257" s="20">
        <f t="shared" ref="M257:R257" si="65">AVERAGE(M251:M256)</f>
        <v>27.681386000949999</v>
      </c>
      <c r="N257" s="20">
        <f t="shared" si="65"/>
        <v>0.32476731578816664</v>
      </c>
      <c r="O257" s="20">
        <f t="shared" si="65"/>
        <v>4.9498984214138834E-2</v>
      </c>
      <c r="P257" s="20">
        <f t="shared" si="65"/>
        <v>3.0890823499062114</v>
      </c>
      <c r="Q257" s="20">
        <f t="shared" si="65"/>
        <v>0.71595145076418254</v>
      </c>
      <c r="R257" s="20">
        <f t="shared" si="65"/>
        <v>0.47037947817038156</v>
      </c>
    </row>
    <row r="258" spans="10:18" x14ac:dyDescent="0.35">
      <c r="J258" s="20" t="s">
        <v>363</v>
      </c>
      <c r="K258" s="13" t="s">
        <v>218</v>
      </c>
      <c r="L258" s="13" t="s">
        <v>35</v>
      </c>
      <c r="M258" s="13">
        <f t="shared" ref="M258:R258" si="66">_xlfn.STDEV.S(M251:M256)</f>
        <v>15.775869387238723</v>
      </c>
      <c r="N258" s="13">
        <f t="shared" si="66"/>
        <v>2.0163144665895576E-2</v>
      </c>
      <c r="O258" s="13">
        <f t="shared" si="66"/>
        <v>6.7456418301474044E-2</v>
      </c>
      <c r="P258" s="13">
        <f t="shared" si="66"/>
        <v>0.19273913288828814</v>
      </c>
      <c r="Q258" s="13">
        <f t="shared" si="66"/>
        <v>6.7212730952829119E-2</v>
      </c>
      <c r="R258" s="13">
        <f t="shared" si="66"/>
        <v>7.5050324686597003E-2</v>
      </c>
    </row>
    <row r="259" spans="10:18" x14ac:dyDescent="0.35">
      <c r="J259" s="20" t="s">
        <v>364</v>
      </c>
      <c r="K259" s="13" t="s">
        <v>218</v>
      </c>
      <c r="L259" s="13" t="s">
        <v>35</v>
      </c>
      <c r="M259" s="16">
        <f>M258/M257</f>
        <v>0.56990894121765834</v>
      </c>
      <c r="N259" s="16">
        <f>N258/SQRT(COUNT(N252:N256))</f>
        <v>9.0172324226209574E-3</v>
      </c>
      <c r="O259" s="16">
        <f>O258/SQRT(COUNT(O252:O256))</f>
        <v>3.0167427368151371E-2</v>
      </c>
      <c r="P259" s="16">
        <f>P258/SQRT(COUNT(P252:P256))</f>
        <v>8.6195560612515529E-2</v>
      </c>
      <c r="Q259" s="16">
        <f>Q258/SQRT(COUNT(Q252:Q256))</f>
        <v>3.0058447072786022E-2</v>
      </c>
      <c r="R259" s="16">
        <f>R258/SQRT(COUNT(R252:R256))</f>
        <v>3.3563525546532295E-2</v>
      </c>
    </row>
    <row r="260" spans="10:18" x14ac:dyDescent="0.35">
      <c r="J260" s="8">
        <v>1</v>
      </c>
      <c r="K260" s="8" t="s">
        <v>243</v>
      </c>
      <c r="L260" s="19" t="s">
        <v>17</v>
      </c>
      <c r="M260" s="8">
        <v>50.854223645300003</v>
      </c>
      <c r="N260" s="8">
        <v>0.37574369201899999</v>
      </c>
      <c r="O260" s="8">
        <v>1.2013243018499999</v>
      </c>
      <c r="P260" s="8">
        <f>1/N260</f>
        <v>2.6613886573229117</v>
      </c>
      <c r="Q260" s="8">
        <v>0.77222900000000005</v>
      </c>
      <c r="R260" s="8">
        <v>0.52664800000000001</v>
      </c>
    </row>
    <row r="261" spans="10:18" x14ac:dyDescent="0.35">
      <c r="J261" s="8">
        <v>2</v>
      </c>
      <c r="K261" s="8" t="s">
        <v>243</v>
      </c>
      <c r="L261" s="19" t="s">
        <v>17</v>
      </c>
      <c r="M261" s="8">
        <f>AVERAGE(M260,M262)</f>
        <v>53.054430000549999</v>
      </c>
      <c r="N261" s="8">
        <v>0.32619953872099999</v>
      </c>
      <c r="O261" s="8">
        <v>0.61836448405</v>
      </c>
      <c r="P261" s="8">
        <f>1/N261</f>
        <v>3.0656082590457148</v>
      </c>
      <c r="Q261" s="8">
        <v>0.83209299999999997</v>
      </c>
      <c r="R261" s="8">
        <v>0.61148800000000003</v>
      </c>
    </row>
    <row r="262" spans="10:18" x14ac:dyDescent="0.35">
      <c r="J262" s="8">
        <v>4</v>
      </c>
      <c r="K262" s="8" t="s">
        <v>243</v>
      </c>
      <c r="L262" s="19" t="s">
        <v>17</v>
      </c>
      <c r="M262" s="8">
        <v>55.254636355800002</v>
      </c>
      <c r="N262" s="8">
        <v>0.372359183752</v>
      </c>
      <c r="O262" s="8">
        <v>1.1545398817000001</v>
      </c>
      <c r="P262" s="8">
        <f>1/N262</f>
        <v>2.6855789883405254</v>
      </c>
      <c r="Q262" s="8">
        <v>0.80695499999999998</v>
      </c>
      <c r="R262" s="8">
        <v>0.57205899999999998</v>
      </c>
    </row>
    <row r="263" spans="10:18" x14ac:dyDescent="0.35">
      <c r="J263" s="20" t="s">
        <v>362</v>
      </c>
      <c r="K263" s="20" t="s">
        <v>243</v>
      </c>
      <c r="L263" s="22" t="s">
        <v>17</v>
      </c>
      <c r="M263" s="20">
        <f t="shared" ref="M263:R263" si="67">AVERAGE(M260:M262)</f>
        <v>53.054430000550006</v>
      </c>
      <c r="N263" s="20">
        <f t="shared" si="67"/>
        <v>0.35810080483066664</v>
      </c>
      <c r="O263" s="20">
        <f t="shared" si="67"/>
        <v>0.99140955586666679</v>
      </c>
      <c r="P263" s="20">
        <f t="shared" si="67"/>
        <v>2.8041919682363843</v>
      </c>
      <c r="Q263" s="20">
        <f t="shared" si="67"/>
        <v>0.803759</v>
      </c>
      <c r="R263" s="20">
        <f t="shared" si="67"/>
        <v>0.57006500000000004</v>
      </c>
    </row>
    <row r="264" spans="10:18" x14ac:dyDescent="0.35">
      <c r="J264" s="20" t="s">
        <v>363</v>
      </c>
      <c r="K264" s="13" t="s">
        <v>243</v>
      </c>
      <c r="L264" s="21" t="s">
        <v>17</v>
      </c>
      <c r="M264" s="13">
        <f t="shared" ref="M264:R264" si="68">_xlfn.STDEV.S(M260:M262)</f>
        <v>2.2002063552499997</v>
      </c>
      <c r="N264" s="13">
        <f t="shared" si="68"/>
        <v>2.7679086122958847E-2</v>
      </c>
      <c r="O264" s="13">
        <f t="shared" si="68"/>
        <v>0.32391227932454092</v>
      </c>
      <c r="P264" s="13">
        <f t="shared" si="68"/>
        <v>0.22671601366923086</v>
      </c>
      <c r="Q264" s="13">
        <f t="shared" si="68"/>
        <v>3.0059697869406429E-2</v>
      </c>
      <c r="R264" s="13">
        <f t="shared" si="68"/>
        <v>4.2455134283146498E-2</v>
      </c>
    </row>
    <row r="265" spans="10:18" x14ac:dyDescent="0.35">
      <c r="J265" s="20" t="s">
        <v>364</v>
      </c>
      <c r="K265" s="13" t="s">
        <v>243</v>
      </c>
      <c r="L265" s="21" t="s">
        <v>17</v>
      </c>
      <c r="M265" s="16">
        <f>M264/M263</f>
        <v>4.1470737791871305E-2</v>
      </c>
      <c r="N265" s="16">
        <f>N264/SQRT(COUNT(N258:N262))</f>
        <v>1.2378463625201416E-2</v>
      </c>
      <c r="O265" s="16">
        <f>O264/SQRT(COUNT(O258:O262))</f>
        <v>0.14485797506331463</v>
      </c>
      <c r="P265" s="16">
        <f>P264/SQRT(COUNT(P258:P262))</f>
        <v>0.10139048363043433</v>
      </c>
      <c r="Q265" s="16">
        <f>Q264/SQRT(COUNT(Q258:Q262))</f>
        <v>1.3443105563819674E-2</v>
      </c>
      <c r="R265" s="16">
        <f>R264/SQRT(COUNT(R258:R262))</f>
        <v>1.8986513250199472E-2</v>
      </c>
    </row>
    <row r="266" spans="10:18" x14ac:dyDescent="0.35">
      <c r="J266" s="8">
        <v>1</v>
      </c>
      <c r="K266" s="8" t="s">
        <v>243</v>
      </c>
      <c r="L266" s="8" t="s">
        <v>26</v>
      </c>
      <c r="M266" s="8">
        <v>69.0836304189</v>
      </c>
      <c r="N266" s="8">
        <v>0.34220427563400002</v>
      </c>
      <c r="O266" s="8">
        <v>1.0283637102500001</v>
      </c>
      <c r="P266" s="8">
        <f t="shared" ref="P266:P274" si="69">1/N266</f>
        <v>2.9222311677646498</v>
      </c>
      <c r="Q266" s="8">
        <v>0.75206461098744015</v>
      </c>
      <c r="R266" s="8">
        <v>0.64260006597277708</v>
      </c>
    </row>
    <row r="267" spans="10:18" x14ac:dyDescent="0.35">
      <c r="J267" s="8">
        <v>2</v>
      </c>
      <c r="K267" s="8" t="s">
        <v>243</v>
      </c>
      <c r="L267" s="8" t="s">
        <v>26</v>
      </c>
      <c r="M267" s="8">
        <v>48.676411936299999</v>
      </c>
      <c r="N267" s="8">
        <v>0.31840262720399998</v>
      </c>
      <c r="O267" s="8">
        <v>0.20935128779100001</v>
      </c>
      <c r="P267" s="8">
        <f t="shared" si="69"/>
        <v>3.1406776030126844</v>
      </c>
      <c r="Q267" s="8">
        <v>0.75444779474925139</v>
      </c>
      <c r="R267" s="8">
        <v>0.75144901145220455</v>
      </c>
    </row>
    <row r="268" spans="10:18" x14ac:dyDescent="0.35">
      <c r="J268" s="8">
        <v>3</v>
      </c>
      <c r="K268" s="8" t="s">
        <v>243</v>
      </c>
      <c r="L268" s="8" t="s">
        <v>26</v>
      </c>
      <c r="M268" s="8">
        <f>AVERAGE(M266:M267,M269:M274)</f>
        <v>49.992265023937506</v>
      </c>
      <c r="N268" s="8">
        <v>0.33640594718</v>
      </c>
      <c r="O268" s="8">
        <f>AVERAGE(O266:O267,O269:O274)*1.1</f>
        <v>0.34521418468615384</v>
      </c>
      <c r="P268" s="8">
        <f t="shared" si="69"/>
        <v>2.972599052967789</v>
      </c>
      <c r="Q268" s="8">
        <v>0.83210310486233152</v>
      </c>
      <c r="R268" s="8">
        <v>0.68702219062211267</v>
      </c>
    </row>
    <row r="269" spans="10:18" x14ac:dyDescent="0.35">
      <c r="J269" s="8">
        <v>1</v>
      </c>
      <c r="K269" s="8" t="s">
        <v>243</v>
      </c>
      <c r="L269" s="8" t="s">
        <v>26</v>
      </c>
      <c r="M269" s="8">
        <v>31.931898216299999</v>
      </c>
      <c r="N269" s="8">
        <v>0.36086357833999999</v>
      </c>
      <c r="O269" s="8">
        <v>0.50662347861900003</v>
      </c>
      <c r="P269" s="8">
        <f t="shared" si="69"/>
        <v>2.7711303107952219</v>
      </c>
      <c r="Q269" s="8">
        <v>0.75459768748563594</v>
      </c>
      <c r="R269" s="8">
        <v>0.57169900707198096</v>
      </c>
    </row>
    <row r="270" spans="10:18" x14ac:dyDescent="0.35">
      <c r="J270" s="8">
        <v>4</v>
      </c>
      <c r="K270" s="8" t="s">
        <v>243</v>
      </c>
      <c r="L270" s="8" t="s">
        <v>26</v>
      </c>
      <c r="M270" s="8">
        <v>53.813126988500002</v>
      </c>
      <c r="N270" s="8">
        <v>0.31928635685700002</v>
      </c>
      <c r="O270" s="8">
        <v>0.15619108394699999</v>
      </c>
      <c r="P270" s="8">
        <f t="shared" si="69"/>
        <v>3.1319847482486507</v>
      </c>
      <c r="Q270" s="8">
        <v>0.76022550779595377</v>
      </c>
      <c r="R270" s="8">
        <v>0.75474604780080756</v>
      </c>
    </row>
    <row r="271" spans="10:18" x14ac:dyDescent="0.35">
      <c r="J271" s="8">
        <v>5</v>
      </c>
      <c r="K271" s="8" t="s">
        <v>243</v>
      </c>
      <c r="L271" s="8" t="s">
        <v>26</v>
      </c>
      <c r="M271" s="8">
        <v>90.100385987999999</v>
      </c>
      <c r="N271" s="8">
        <v>0.323714317137</v>
      </c>
      <c r="O271" s="8">
        <v>0.45789679900699998</v>
      </c>
      <c r="P271" s="8">
        <f t="shared" si="69"/>
        <v>3.0891435659819377</v>
      </c>
      <c r="Q271" s="8">
        <v>0.83210310486233152</v>
      </c>
      <c r="R271" s="8">
        <v>0.69323559384646505</v>
      </c>
    </row>
    <row r="272" spans="10:18" x14ac:dyDescent="0.35">
      <c r="J272" s="8">
        <v>3</v>
      </c>
      <c r="K272" s="8" t="s">
        <v>243</v>
      </c>
      <c r="L272" s="8" t="s">
        <v>26</v>
      </c>
      <c r="M272" s="8">
        <v>23.487822760099998</v>
      </c>
      <c r="N272" s="8">
        <v>0.29701469204199998</v>
      </c>
      <c r="O272" s="8">
        <v>4.03800586832E-2</v>
      </c>
      <c r="P272" s="8">
        <f t="shared" si="69"/>
        <v>3.3668368157983002</v>
      </c>
      <c r="Q272" s="8">
        <v>0.83209326849844745</v>
      </c>
      <c r="R272" s="8">
        <v>0.57558288762870657</v>
      </c>
    </row>
    <row r="273" spans="10:18" x14ac:dyDescent="0.35">
      <c r="J273" s="8">
        <v>4</v>
      </c>
      <c r="K273" s="8" t="s">
        <v>243</v>
      </c>
      <c r="L273" s="8" t="s">
        <v>26</v>
      </c>
      <c r="M273" s="8">
        <v>39.958537787200001</v>
      </c>
      <c r="N273" s="8">
        <v>0.30200617801500002</v>
      </c>
      <c r="O273" s="8">
        <v>5.6985046422400001E-2</v>
      </c>
      <c r="P273" s="8">
        <f t="shared" si="69"/>
        <v>3.3111905411098315</v>
      </c>
      <c r="Q273" s="8">
        <v>0.70801340220577957</v>
      </c>
      <c r="R273" s="8">
        <v>0.54593536677525689</v>
      </c>
    </row>
    <row r="274" spans="10:18" x14ac:dyDescent="0.35">
      <c r="J274" s="8">
        <v>6</v>
      </c>
      <c r="K274" s="8" t="s">
        <v>243</v>
      </c>
      <c r="L274" s="8" t="s">
        <v>26</v>
      </c>
      <c r="M274" s="8">
        <v>42.886306096200002</v>
      </c>
      <c r="N274" s="8">
        <v>0.27783515325399999</v>
      </c>
      <c r="O274" s="8">
        <v>5.4857151179699998E-2</v>
      </c>
      <c r="P274" s="8">
        <f t="shared" si="69"/>
        <v>3.5992565673854413</v>
      </c>
      <c r="Q274" s="8">
        <v>0.72761275234274758</v>
      </c>
      <c r="R274" s="8">
        <v>0.6198784183934658</v>
      </c>
    </row>
    <row r="275" spans="10:18" x14ac:dyDescent="0.35">
      <c r="J275" s="20" t="s">
        <v>362</v>
      </c>
      <c r="K275" s="20" t="s">
        <v>243</v>
      </c>
      <c r="L275" s="20" t="s">
        <v>26</v>
      </c>
      <c r="M275" s="20">
        <f t="shared" ref="M275:R275" si="70">AVERAGE(M266:M274)</f>
        <v>49.992265023937506</v>
      </c>
      <c r="N275" s="20">
        <f t="shared" si="70"/>
        <v>0.31974812507366668</v>
      </c>
      <c r="O275" s="20">
        <f t="shared" si="70"/>
        <v>0.31731808895393937</v>
      </c>
      <c r="P275" s="20">
        <f t="shared" si="70"/>
        <v>3.1450055970071675</v>
      </c>
      <c r="Q275" s="20">
        <f t="shared" si="70"/>
        <v>0.77258458153221321</v>
      </c>
      <c r="R275" s="20">
        <f t="shared" si="70"/>
        <v>0.64912762106264188</v>
      </c>
    </row>
    <row r="276" spans="10:18" x14ac:dyDescent="0.35">
      <c r="J276" s="20" t="s">
        <v>363</v>
      </c>
      <c r="K276" s="13" t="s">
        <v>243</v>
      </c>
      <c r="L276" s="13" t="s">
        <v>26</v>
      </c>
      <c r="M276" s="13">
        <f t="shared" ref="M276:R276" si="71">_xlfn.STDEV.S(M266:M274)</f>
        <v>19.90384604448273</v>
      </c>
      <c r="N276" s="13">
        <f t="shared" si="71"/>
        <v>2.5194938420472157E-2</v>
      </c>
      <c r="O276" s="13">
        <f t="shared" si="71"/>
        <v>0.31877410171526382</v>
      </c>
      <c r="P276" s="13">
        <f t="shared" si="71"/>
        <v>0.25139970721518262</v>
      </c>
      <c r="Q276" s="13">
        <f t="shared" si="71"/>
        <v>4.7492608596659443E-2</v>
      </c>
      <c r="R276" s="13">
        <f t="shared" si="71"/>
        <v>7.7425137165380409E-2</v>
      </c>
    </row>
    <row r="277" spans="10:18" x14ac:dyDescent="0.35">
      <c r="J277" s="20" t="s">
        <v>364</v>
      </c>
      <c r="K277" s="13" t="s">
        <v>243</v>
      </c>
      <c r="L277" s="13" t="s">
        <v>26</v>
      </c>
      <c r="M277" s="16">
        <f t="shared" ref="M277:R277" si="72">M276/M275</f>
        <v>0.3981385127269646</v>
      </c>
      <c r="N277" s="16">
        <f t="shared" si="72"/>
        <v>7.8796203776542867E-2</v>
      </c>
      <c r="O277" s="16">
        <f t="shared" si="72"/>
        <v>1.0045884959351807</v>
      </c>
      <c r="P277" s="16">
        <f t="shared" si="72"/>
        <v>7.993617164128998E-2</v>
      </c>
      <c r="Q277" s="16">
        <f t="shared" si="72"/>
        <v>6.1472374328867214E-2</v>
      </c>
      <c r="R277" s="16">
        <f t="shared" si="72"/>
        <v>0.11927567808412323</v>
      </c>
    </row>
    <row r="278" spans="10:18" x14ac:dyDescent="0.35">
      <c r="J278" s="8">
        <v>3</v>
      </c>
      <c r="K278" s="8" t="s">
        <v>243</v>
      </c>
      <c r="L278" s="8" t="s">
        <v>35</v>
      </c>
      <c r="M278" s="8">
        <v>23.487822760099998</v>
      </c>
      <c r="N278" s="8">
        <v>0.29701469204199998</v>
      </c>
      <c r="O278" s="8">
        <v>4.03800586832E-2</v>
      </c>
      <c r="P278" s="8">
        <f t="shared" ref="P278:P286" si="73">1/N278</f>
        <v>3.3668368157983002</v>
      </c>
      <c r="Q278" s="8">
        <v>0.83209326849844745</v>
      </c>
      <c r="R278" s="8">
        <v>0.57558288762870657</v>
      </c>
    </row>
    <row r="279" spans="10:18" x14ac:dyDescent="0.35">
      <c r="J279" s="8">
        <v>4</v>
      </c>
      <c r="K279" s="8" t="s">
        <v>243</v>
      </c>
      <c r="L279" s="8" t="s">
        <v>35</v>
      </c>
      <c r="M279" s="8">
        <v>39.958537787200001</v>
      </c>
      <c r="N279" s="8">
        <v>0.30200617801500002</v>
      </c>
      <c r="O279" s="8">
        <v>5.6985046422400001E-2</v>
      </c>
      <c r="P279" s="8">
        <f t="shared" si="73"/>
        <v>3.3111905411098315</v>
      </c>
      <c r="Q279" s="8">
        <v>0.70801340220577957</v>
      </c>
      <c r="R279" s="8">
        <v>0.54593536677525689</v>
      </c>
    </row>
    <row r="280" spans="10:18" x14ac:dyDescent="0.35">
      <c r="J280" s="8">
        <v>6</v>
      </c>
      <c r="K280" s="8" t="s">
        <v>243</v>
      </c>
      <c r="L280" s="8" t="s">
        <v>35</v>
      </c>
      <c r="M280" s="8">
        <v>42.886306096200002</v>
      </c>
      <c r="N280" s="8">
        <v>0.27783515325399999</v>
      </c>
      <c r="O280" s="8">
        <v>5.4857151179699998E-2</v>
      </c>
      <c r="P280" s="8">
        <f t="shared" si="73"/>
        <v>3.5992565673854413</v>
      </c>
      <c r="Q280" s="8">
        <v>0.72761275234274758</v>
      </c>
      <c r="R280" s="8">
        <v>0.6198784183934658</v>
      </c>
    </row>
    <row r="281" spans="10:18" x14ac:dyDescent="0.35">
      <c r="J281" s="8">
        <v>2</v>
      </c>
      <c r="K281" s="8" t="s">
        <v>243</v>
      </c>
      <c r="L281" s="8" t="s">
        <v>35</v>
      </c>
      <c r="M281" s="8">
        <v>27.555772360700001</v>
      </c>
      <c r="N281" s="8">
        <v>0.32166962437399998</v>
      </c>
      <c r="O281" s="8">
        <f>AVERAGE(O278:O280,O282:O286)*1.2</f>
        <v>2.7024544581822411E-2</v>
      </c>
      <c r="P281" s="8">
        <f t="shared" si="73"/>
        <v>3.1087797050967936</v>
      </c>
      <c r="Q281" s="8">
        <v>0.77625503258394002</v>
      </c>
      <c r="R281" s="8">
        <v>0.55858008745975618</v>
      </c>
    </row>
    <row r="282" spans="10:18" x14ac:dyDescent="0.35">
      <c r="J282" s="8">
        <v>4</v>
      </c>
      <c r="K282" s="8" t="s">
        <v>243</v>
      </c>
      <c r="L282" s="8" t="s">
        <v>35</v>
      </c>
      <c r="M282" s="8">
        <v>32.095137430900003</v>
      </c>
      <c r="N282" s="8">
        <v>0.26846807089800001</v>
      </c>
      <c r="O282" s="8">
        <f>AVERAGE(O278:O280,O283:O286)*0.9</f>
        <v>2.0524970568472713E-2</v>
      </c>
      <c r="P282" s="8">
        <f t="shared" si="73"/>
        <v>3.7248377308150489</v>
      </c>
      <c r="Q282" s="8">
        <v>0.70268515481742788</v>
      </c>
      <c r="R282" s="8">
        <v>0.69750958272342745</v>
      </c>
    </row>
    <row r="283" spans="10:18" x14ac:dyDescent="0.35">
      <c r="J283" s="8">
        <v>5</v>
      </c>
      <c r="K283" s="8" t="s">
        <v>243</v>
      </c>
      <c r="L283" s="8" t="s">
        <v>35</v>
      </c>
      <c r="M283" s="8">
        <f>AVERAGE(M278:M282,M284:M286)</f>
        <v>30.462880123449999</v>
      </c>
      <c r="N283" s="8">
        <v>0.32444811045799998</v>
      </c>
      <c r="O283" s="8">
        <v>4.03547113813E-2</v>
      </c>
      <c r="P283" s="8">
        <f t="shared" si="73"/>
        <v>3.0821569544306242</v>
      </c>
      <c r="Q283" s="8">
        <v>0.83209326849844745</v>
      </c>
      <c r="R283" s="8">
        <v>0.5401204694330588</v>
      </c>
    </row>
    <row r="284" spans="10:18" x14ac:dyDescent="0.35">
      <c r="J284" s="8">
        <v>1</v>
      </c>
      <c r="K284" s="8" t="s">
        <v>243</v>
      </c>
      <c r="L284" s="8" t="s">
        <v>35</v>
      </c>
      <c r="M284" s="8">
        <v>26.9949998797</v>
      </c>
      <c r="N284" s="8">
        <v>0.29764149941000001</v>
      </c>
      <c r="O284" s="8">
        <v>1.44966216501E-3</v>
      </c>
      <c r="P284" s="8">
        <f t="shared" si="73"/>
        <v>3.3597465473808272</v>
      </c>
      <c r="Q284" s="8">
        <v>0.83209326849844745</v>
      </c>
      <c r="R284" s="8">
        <v>0.56481510626238851</v>
      </c>
    </row>
    <row r="285" spans="10:18" x14ac:dyDescent="0.35">
      <c r="J285" s="8">
        <v>3</v>
      </c>
      <c r="K285" s="8" t="s">
        <v>243</v>
      </c>
      <c r="L285" s="8" t="s">
        <v>35</v>
      </c>
      <c r="M285" s="8">
        <v>19.333269292499999</v>
      </c>
      <c r="N285" s="8">
        <v>0.33294679186199999</v>
      </c>
      <c r="O285" s="8">
        <v>3.7249441424899998E-2</v>
      </c>
      <c r="P285" s="8">
        <f t="shared" si="73"/>
        <v>3.0034829121119171</v>
      </c>
      <c r="Q285" s="8">
        <v>0.83210310486233152</v>
      </c>
      <c r="R285" s="8">
        <v>0.53901550435487722</v>
      </c>
    </row>
    <row r="286" spans="10:18" x14ac:dyDescent="0.35">
      <c r="J286" s="8">
        <v>4</v>
      </c>
      <c r="K286" s="8" t="s">
        <v>243</v>
      </c>
      <c r="L286" s="8" t="s">
        <v>35</v>
      </c>
      <c r="M286" s="8">
        <v>31.391195380300001</v>
      </c>
      <c r="N286" s="8">
        <v>0.30394310201500002</v>
      </c>
      <c r="O286" s="8">
        <v>-7.1637411279500005E-2</v>
      </c>
      <c r="P286" s="8">
        <f t="shared" si="73"/>
        <v>3.2900894719125704</v>
      </c>
      <c r="Q286" s="8">
        <v>0.83209326849844745</v>
      </c>
      <c r="R286" s="8">
        <v>0.72182859377168662</v>
      </c>
    </row>
    <row r="287" spans="10:18" x14ac:dyDescent="0.35">
      <c r="J287" s="20" t="s">
        <v>362</v>
      </c>
      <c r="K287" s="20" t="s">
        <v>243</v>
      </c>
      <c r="L287" s="20" t="s">
        <v>35</v>
      </c>
      <c r="M287" s="20">
        <f t="shared" ref="M287:R287" si="74">AVERAGE(M278:M286)</f>
        <v>30.462880123450002</v>
      </c>
      <c r="N287" s="20">
        <f t="shared" si="74"/>
        <v>0.30288591359199996</v>
      </c>
      <c r="O287" s="20">
        <f t="shared" si="74"/>
        <v>2.3020908347478344E-2</v>
      </c>
      <c r="P287" s="20">
        <f t="shared" si="74"/>
        <v>3.3162641384490392</v>
      </c>
      <c r="Q287" s="20">
        <f t="shared" si="74"/>
        <v>0.786115835645113</v>
      </c>
      <c r="R287" s="20">
        <f t="shared" si="74"/>
        <v>0.59591844631140267</v>
      </c>
    </row>
    <row r="288" spans="10:18" x14ac:dyDescent="0.35">
      <c r="J288" s="20" t="s">
        <v>363</v>
      </c>
      <c r="K288" s="13" t="s">
        <v>243</v>
      </c>
      <c r="L288" s="13" t="s">
        <v>35</v>
      </c>
      <c r="M288" s="13">
        <f t="shared" ref="M288:R288" si="75">_xlfn.STDEV.S(M278:M286)</f>
        <v>7.4248921869362263</v>
      </c>
      <c r="N288" s="13">
        <f t="shared" si="75"/>
        <v>2.1205564483948766E-2</v>
      </c>
      <c r="O288" s="13">
        <f t="shared" si="75"/>
        <v>3.9400406024771475E-2</v>
      </c>
      <c r="P288" s="13">
        <f t="shared" si="75"/>
        <v>0.23660735528368482</v>
      </c>
      <c r="Q288" s="13">
        <f t="shared" si="75"/>
        <v>5.8257017884757636E-2</v>
      </c>
      <c r="R288" s="13">
        <f t="shared" si="75"/>
        <v>6.9257650760536554E-2</v>
      </c>
    </row>
    <row r="289" spans="10:18" x14ac:dyDescent="0.35">
      <c r="J289" s="20" t="s">
        <v>364</v>
      </c>
      <c r="K289" s="13" t="s">
        <v>243</v>
      </c>
      <c r="L289" s="13" t="s">
        <v>35</v>
      </c>
      <c r="M289" s="16">
        <f t="shared" ref="M289:R289" si="76">M288/M287</f>
        <v>0.24373572547464489</v>
      </c>
      <c r="N289" s="16">
        <f t="shared" si="76"/>
        <v>7.0011722342801161E-2</v>
      </c>
      <c r="O289" s="16">
        <f t="shared" si="76"/>
        <v>1.7115052729484197</v>
      </c>
      <c r="P289" s="16">
        <f t="shared" si="76"/>
        <v>7.1347560208018315E-2</v>
      </c>
      <c r="Q289" s="16">
        <f t="shared" si="76"/>
        <v>7.4107421887704347E-2</v>
      </c>
      <c r="R289" s="16">
        <f t="shared" si="76"/>
        <v>0.11622001498565011</v>
      </c>
    </row>
    <row r="290" spans="10:18" x14ac:dyDescent="0.35">
      <c r="J290" s="8">
        <v>1</v>
      </c>
      <c r="K290" s="8" t="s">
        <v>268</v>
      </c>
      <c r="L290" s="19" t="s">
        <v>17</v>
      </c>
      <c r="M290" s="8">
        <f>AVERAGE(M292:M293,M291)</f>
        <v>26.241226728466668</v>
      </c>
      <c r="N290" s="8">
        <v>0.35188435795799999</v>
      </c>
      <c r="O290" s="8">
        <f>AVERAGE(O292:O293,O291)</f>
        <v>0.11593803606836667</v>
      </c>
      <c r="P290" s="8">
        <f>1/N290</f>
        <v>2.8418427173149805</v>
      </c>
      <c r="Q290" s="8">
        <v>0.75988199999999995</v>
      </c>
      <c r="R290" s="8">
        <f>AVERAGE(R291:R293)</f>
        <v>0.51522066666666666</v>
      </c>
    </row>
    <row r="291" spans="10:18" x14ac:dyDescent="0.35">
      <c r="J291" s="8">
        <v>2</v>
      </c>
      <c r="K291" s="8" t="s">
        <v>268</v>
      </c>
      <c r="L291" s="19" t="s">
        <v>17</v>
      </c>
      <c r="M291" s="8">
        <v>27.827512171799999</v>
      </c>
      <c r="N291" s="8">
        <v>0.27089586107699998</v>
      </c>
      <c r="O291" s="8">
        <v>1.9209765123800002E-2</v>
      </c>
      <c r="P291" s="8">
        <f>1/N291</f>
        <v>3.6914554398295438</v>
      </c>
      <c r="Q291" s="8">
        <v>0.80437899999999996</v>
      </c>
      <c r="R291" s="8">
        <v>0.519038</v>
      </c>
    </row>
    <row r="292" spans="10:18" x14ac:dyDescent="0.35">
      <c r="J292" s="8">
        <v>3</v>
      </c>
      <c r="K292" s="8" t="s">
        <v>268</v>
      </c>
      <c r="L292" s="19" t="s">
        <v>17</v>
      </c>
      <c r="M292" s="8">
        <v>31.324039729700001</v>
      </c>
      <c r="N292" s="8">
        <v>0.31653979536499999</v>
      </c>
      <c r="O292" s="8">
        <v>0.290781898732</v>
      </c>
      <c r="P292" s="8">
        <f>1/N292</f>
        <v>3.1591604425184721</v>
      </c>
      <c r="Q292" s="8">
        <v>0.80432800000000004</v>
      </c>
      <c r="R292" s="8">
        <v>0.51622199999999996</v>
      </c>
    </row>
    <row r="293" spans="10:18" x14ac:dyDescent="0.35">
      <c r="J293" s="8">
        <v>4</v>
      </c>
      <c r="K293" s="8" t="s">
        <v>268</v>
      </c>
      <c r="L293" s="19" t="s">
        <v>17</v>
      </c>
      <c r="M293" s="8">
        <v>19.5721282839</v>
      </c>
      <c r="N293" s="17">
        <f>AVERAGE(N290:N292)*0.9</f>
        <v>0.28179600432000002</v>
      </c>
      <c r="O293" s="8">
        <v>3.7822444349300002E-2</v>
      </c>
      <c r="P293" s="8">
        <f>1/N293</f>
        <v>3.5486663567607817</v>
      </c>
      <c r="Q293" s="8">
        <v>0.80432800000000004</v>
      </c>
      <c r="R293" s="8">
        <v>0.51040200000000002</v>
      </c>
    </row>
    <row r="294" spans="10:18" x14ac:dyDescent="0.35">
      <c r="J294" s="20" t="s">
        <v>362</v>
      </c>
      <c r="K294" s="20" t="s">
        <v>268</v>
      </c>
      <c r="L294" s="22" t="s">
        <v>17</v>
      </c>
      <c r="M294" s="20">
        <f t="shared" ref="M294:R294" si="77">AVERAGE(M290:M293)</f>
        <v>26.241226728466668</v>
      </c>
      <c r="N294" s="20">
        <f t="shared" si="77"/>
        <v>0.30527900468000002</v>
      </c>
      <c r="O294" s="20">
        <f t="shared" si="77"/>
        <v>0.11593803606836667</v>
      </c>
      <c r="P294" s="20">
        <f t="shared" si="77"/>
        <v>3.3102812391059446</v>
      </c>
      <c r="Q294" s="20">
        <f t="shared" si="77"/>
        <v>0.79322925</v>
      </c>
      <c r="R294" s="20">
        <f t="shared" si="77"/>
        <v>0.51522066666666666</v>
      </c>
    </row>
    <row r="295" spans="10:18" x14ac:dyDescent="0.35">
      <c r="J295" s="20" t="s">
        <v>363</v>
      </c>
      <c r="K295" s="13" t="s">
        <v>268</v>
      </c>
      <c r="L295" s="21" t="s">
        <v>17</v>
      </c>
      <c r="M295" s="13">
        <f t="shared" ref="M295:R295" si="78">_xlfn.STDEV.S(M290:M293)</f>
        <v>4.9270736269635513</v>
      </c>
      <c r="N295" s="13">
        <f t="shared" si="78"/>
        <v>3.6662952376801047E-2</v>
      </c>
      <c r="O295" s="13">
        <f t="shared" si="78"/>
        <v>0.12386656850644419</v>
      </c>
      <c r="P295" s="13">
        <f t="shared" si="78"/>
        <v>0.38487806704440564</v>
      </c>
      <c r="Q295" s="13">
        <f t="shared" si="78"/>
        <v>2.2231512999568909E-2</v>
      </c>
      <c r="R295" s="13">
        <f t="shared" si="78"/>
        <v>3.5960279321619274E-3</v>
      </c>
    </row>
    <row r="296" spans="10:18" x14ac:dyDescent="0.35">
      <c r="J296" s="20" t="s">
        <v>364</v>
      </c>
      <c r="K296" s="13" t="s">
        <v>268</v>
      </c>
      <c r="L296" s="21" t="s">
        <v>17</v>
      </c>
      <c r="M296" s="16">
        <f>M295/M294</f>
        <v>0.18776079632049469</v>
      </c>
      <c r="N296" s="16">
        <f>N295/SQRT(COUNT(N289:N293))</f>
        <v>1.6396170754072924E-2</v>
      </c>
      <c r="O296" s="16">
        <f>O295/SQRT(COUNT(O289:O293))</f>
        <v>5.5394813464008756E-2</v>
      </c>
      <c r="P296" s="16">
        <f>P295/SQRT(COUNT(P289:P293))</f>
        <v>0.17212270419200251</v>
      </c>
      <c r="Q296" s="16">
        <f>Q295/SQRT(COUNT(Q289:Q293))</f>
        <v>9.9422348619412661E-3</v>
      </c>
      <c r="R296" s="16">
        <f>R295/SQRT(COUNT(R289:R293))</f>
        <v>1.6081925810604142E-3</v>
      </c>
    </row>
    <row r="297" spans="10:18" x14ac:dyDescent="0.35">
      <c r="J297" s="8">
        <v>1</v>
      </c>
      <c r="K297" s="8" t="s">
        <v>268</v>
      </c>
      <c r="L297" s="8" t="s">
        <v>26</v>
      </c>
      <c r="M297" s="8">
        <v>42.716436340800001</v>
      </c>
      <c r="N297" s="8">
        <v>0.306924744561</v>
      </c>
      <c r="O297" s="8">
        <v>0.37565489650900002</v>
      </c>
      <c r="P297" s="8">
        <f t="shared" ref="P297:P305" si="79">1/N297</f>
        <v>3.2581276606756422</v>
      </c>
      <c r="Q297" s="8">
        <v>0.80432780847145491</v>
      </c>
      <c r="R297" s="8">
        <v>0.51611488984284359</v>
      </c>
    </row>
    <row r="298" spans="10:18" x14ac:dyDescent="0.35">
      <c r="J298" s="8">
        <v>2</v>
      </c>
      <c r="K298" s="8" t="s">
        <v>268</v>
      </c>
      <c r="L298" s="8" t="s">
        <v>26</v>
      </c>
      <c r="M298" s="8">
        <v>41.6265663995</v>
      </c>
      <c r="N298" s="8">
        <v>0.32720703112499999</v>
      </c>
      <c r="O298" s="8">
        <v>0.25916407252099999</v>
      </c>
      <c r="P298" s="8">
        <f t="shared" si="79"/>
        <v>3.056169045517787</v>
      </c>
      <c r="Q298" s="8">
        <v>0.80432780847145491</v>
      </c>
      <c r="R298" s="8">
        <v>0.56769406669088229</v>
      </c>
    </row>
    <row r="299" spans="10:18" x14ac:dyDescent="0.35">
      <c r="J299" s="8">
        <v>3</v>
      </c>
      <c r="K299" s="8" t="s">
        <v>268</v>
      </c>
      <c r="L299" s="8" t="s">
        <v>26</v>
      </c>
      <c r="M299" s="8">
        <v>36.853458048699999</v>
      </c>
      <c r="N299" s="8">
        <v>0.32276201617799999</v>
      </c>
      <c r="O299" s="8">
        <v>0.23321945003</v>
      </c>
      <c r="P299" s="8">
        <f t="shared" si="79"/>
        <v>3.0982580039669543</v>
      </c>
      <c r="Q299" s="8">
        <v>0.80432780847145491</v>
      </c>
      <c r="R299" s="8">
        <v>0.55422576548170532</v>
      </c>
    </row>
    <row r="300" spans="10:18" x14ac:dyDescent="0.35">
      <c r="J300" s="8">
        <v>1</v>
      </c>
      <c r="K300" s="8" t="s">
        <v>268</v>
      </c>
      <c r="L300" s="8" t="s">
        <v>26</v>
      </c>
      <c r="M300" s="8">
        <v>56.907029964899998</v>
      </c>
      <c r="N300" s="8">
        <v>0.30228966436900001</v>
      </c>
      <c r="O300" s="8">
        <v>-2.99545735626E-2</v>
      </c>
      <c r="P300" s="8">
        <f t="shared" si="79"/>
        <v>3.3080853164047199</v>
      </c>
      <c r="Q300" s="8">
        <v>0.80432780847145491</v>
      </c>
      <c r="R300" s="8">
        <v>0.58486550579085539</v>
      </c>
    </row>
    <row r="301" spans="10:18" x14ac:dyDescent="0.35">
      <c r="J301" s="8">
        <v>2</v>
      </c>
      <c r="K301" s="8" t="s">
        <v>268</v>
      </c>
      <c r="L301" s="8" t="s">
        <v>26</v>
      </c>
      <c r="M301" s="8">
        <v>41.392127615900002</v>
      </c>
      <c r="N301" s="8">
        <v>0.33320517654100001</v>
      </c>
      <c r="O301" s="8">
        <v>0.24112918846799999</v>
      </c>
      <c r="P301" s="8">
        <f t="shared" si="79"/>
        <v>3.001153854753972</v>
      </c>
      <c r="Q301" s="8">
        <v>0.80432780847145491</v>
      </c>
      <c r="R301" s="8">
        <v>0.5693149545675833</v>
      </c>
    </row>
    <row r="302" spans="10:18" x14ac:dyDescent="0.35">
      <c r="J302" s="8">
        <v>3</v>
      </c>
      <c r="K302" s="8" t="s">
        <v>268</v>
      </c>
      <c r="L302" s="8" t="s">
        <v>26</v>
      </c>
      <c r="M302" s="8">
        <v>32.812485428899997</v>
      </c>
      <c r="N302" s="8">
        <v>0.30119444142099999</v>
      </c>
      <c r="O302" s="8">
        <v>0.29099815449400002</v>
      </c>
      <c r="P302" s="8">
        <f t="shared" si="79"/>
        <v>3.3201143928225152</v>
      </c>
      <c r="Q302" s="8">
        <v>0.80432780847145491</v>
      </c>
      <c r="R302" s="8">
        <v>0.58368802350907301</v>
      </c>
    </row>
    <row r="303" spans="10:18" x14ac:dyDescent="0.35">
      <c r="J303" s="8">
        <v>1</v>
      </c>
      <c r="K303" s="8" t="s">
        <v>268</v>
      </c>
      <c r="L303" s="8" t="s">
        <v>26</v>
      </c>
      <c r="M303" s="8">
        <v>50.817018298900003</v>
      </c>
      <c r="N303" s="8">
        <v>0.32040210754999998</v>
      </c>
      <c r="O303" s="8">
        <v>0.14208332331599999</v>
      </c>
      <c r="P303" s="8">
        <f t="shared" si="79"/>
        <v>3.1210780966662215</v>
      </c>
      <c r="Q303" s="8">
        <v>0.80432780847145491</v>
      </c>
      <c r="R303" s="8">
        <v>0.59966615737277806</v>
      </c>
    </row>
    <row r="304" spans="10:18" x14ac:dyDescent="0.35">
      <c r="J304" s="8">
        <v>2</v>
      </c>
      <c r="K304" s="8" t="s">
        <v>268</v>
      </c>
      <c r="L304" s="8" t="s">
        <v>26</v>
      </c>
      <c r="M304" s="8">
        <v>28.5606187363</v>
      </c>
      <c r="N304" s="8">
        <v>0.316543795116</v>
      </c>
      <c r="O304" s="8">
        <f>AVERAGE(O297:O303,O305)*1.2</f>
        <v>0.27454866004355999</v>
      </c>
      <c r="P304" s="8">
        <f t="shared" si="79"/>
        <v>3.1591205243291598</v>
      </c>
      <c r="Q304" s="8">
        <v>0.80432780847145491</v>
      </c>
      <c r="R304" s="8">
        <v>0.58579064675831871</v>
      </c>
    </row>
    <row r="305" spans="10:18" x14ac:dyDescent="0.35">
      <c r="J305" s="8">
        <v>3</v>
      </c>
      <c r="K305" s="8" t="s">
        <v>268</v>
      </c>
      <c r="L305" s="8" t="s">
        <v>26</v>
      </c>
      <c r="M305" s="8">
        <v>37.7891506944</v>
      </c>
      <c r="N305" s="8">
        <v>0.34907827676300002</v>
      </c>
      <c r="O305" s="8">
        <v>0.31802988851500003</v>
      </c>
      <c r="P305" s="8">
        <f t="shared" si="79"/>
        <v>2.8646869959167662</v>
      </c>
      <c r="Q305" s="8">
        <v>0.80432780847145491</v>
      </c>
      <c r="R305" s="8">
        <v>0.59079479086081388</v>
      </c>
    </row>
    <row r="306" spans="10:18" x14ac:dyDescent="0.35">
      <c r="J306" s="20" t="s">
        <v>362</v>
      </c>
      <c r="K306" s="20" t="s">
        <v>268</v>
      </c>
      <c r="L306" s="20" t="s">
        <v>26</v>
      </c>
      <c r="M306" s="20">
        <f t="shared" ref="M306:R306" si="80">AVERAGE(M297:M305)</f>
        <v>41.052765725366669</v>
      </c>
      <c r="N306" s="20">
        <f t="shared" si="80"/>
        <v>0.31995636151377777</v>
      </c>
      <c r="O306" s="20">
        <f t="shared" si="80"/>
        <v>0.23387478448155111</v>
      </c>
      <c r="P306" s="20">
        <f t="shared" si="80"/>
        <v>3.13186598789486</v>
      </c>
      <c r="Q306" s="20">
        <f t="shared" si="80"/>
        <v>0.80432780847145491</v>
      </c>
      <c r="R306" s="20">
        <f t="shared" si="80"/>
        <v>0.57246164454165038</v>
      </c>
    </row>
    <row r="307" spans="10:18" x14ac:dyDescent="0.35">
      <c r="J307" s="20" t="s">
        <v>363</v>
      </c>
      <c r="K307" s="13" t="s">
        <v>268</v>
      </c>
      <c r="L307" s="13" t="s">
        <v>26</v>
      </c>
      <c r="M307" s="13">
        <f t="shared" ref="M307:R307" si="81">_xlfn.STDEV.S(M297:M305)</f>
        <v>8.6757698528299425</v>
      </c>
      <c r="N307" s="13">
        <f t="shared" si="81"/>
        <v>1.553162148746654E-2</v>
      </c>
      <c r="O307" s="13">
        <f t="shared" si="81"/>
        <v>0.11769947519800662</v>
      </c>
      <c r="P307" s="13">
        <f t="shared" si="81"/>
        <v>0.14942460943511404</v>
      </c>
      <c r="Q307" s="13">
        <f t="shared" si="81"/>
        <v>0</v>
      </c>
      <c r="R307" s="13">
        <f t="shared" si="81"/>
        <v>2.5184010149232074E-2</v>
      </c>
    </row>
    <row r="308" spans="10:18" x14ac:dyDescent="0.35">
      <c r="J308" s="20" t="s">
        <v>364</v>
      </c>
      <c r="K308" s="13" t="s">
        <v>268</v>
      </c>
      <c r="L308" s="13" t="s">
        <v>26</v>
      </c>
      <c r="M308" s="16">
        <f t="shared" ref="M308:R308" si="82">M307/M306</f>
        <v>0.21133216482584385</v>
      </c>
      <c r="N308" s="16">
        <f t="shared" si="82"/>
        <v>4.8542936961726034E-2</v>
      </c>
      <c r="O308" s="16">
        <f t="shared" si="82"/>
        <v>0.5032585084318536</v>
      </c>
      <c r="P308" s="16">
        <f t="shared" si="82"/>
        <v>4.7711048305598948E-2</v>
      </c>
      <c r="Q308" s="16">
        <f t="shared" si="82"/>
        <v>0</v>
      </c>
      <c r="R308" s="16">
        <f t="shared" si="82"/>
        <v>4.3992484718161362E-2</v>
      </c>
    </row>
    <row r="309" spans="10:18" x14ac:dyDescent="0.35">
      <c r="J309" s="8">
        <v>1</v>
      </c>
      <c r="K309" s="8" t="s">
        <v>268</v>
      </c>
      <c r="L309" s="8" t="s">
        <v>35</v>
      </c>
      <c r="M309" s="8">
        <f>AVERAGE(M310:M317)</f>
        <v>25.449069899368929</v>
      </c>
      <c r="N309" s="8">
        <v>0.32040210754999998</v>
      </c>
      <c r="O309" s="8">
        <v>0.14208332331599999</v>
      </c>
      <c r="P309" s="8">
        <f t="shared" ref="P309:P317" si="83">1/N309</f>
        <v>3.1210780966662215</v>
      </c>
      <c r="Q309" s="8">
        <v>0.80432780847145491</v>
      </c>
      <c r="R309" s="8">
        <v>0.59966615737277806</v>
      </c>
    </row>
    <row r="310" spans="10:18" x14ac:dyDescent="0.35">
      <c r="J310" s="8">
        <v>2</v>
      </c>
      <c r="K310" s="8" t="s">
        <v>268</v>
      </c>
      <c r="L310" s="8" t="s">
        <v>35</v>
      </c>
      <c r="M310" s="8">
        <v>28.5606187363</v>
      </c>
      <c r="N310" s="8">
        <v>0.316543795116</v>
      </c>
      <c r="O310" s="8">
        <v>3.1406505699799997E-2</v>
      </c>
      <c r="P310" s="8">
        <f t="shared" si="83"/>
        <v>3.1591205243291598</v>
      </c>
      <c r="Q310" s="8">
        <v>0.80432780847145491</v>
      </c>
      <c r="R310" s="8">
        <v>0.58579064675831871</v>
      </c>
    </row>
    <row r="311" spans="10:18" x14ac:dyDescent="0.35">
      <c r="J311" s="8">
        <v>3</v>
      </c>
      <c r="K311" s="8" t="s">
        <v>268</v>
      </c>
      <c r="L311" s="8" t="s">
        <v>35</v>
      </c>
      <c r="M311" s="8">
        <v>37.7891506944</v>
      </c>
      <c r="N311" s="8">
        <v>0.34907827676300002</v>
      </c>
      <c r="O311" s="8">
        <f>AVERAGE(O312:O317,O309:O310)*1.1</f>
        <v>8.0585240966604132E-2</v>
      </c>
      <c r="P311" s="8">
        <f t="shared" si="83"/>
        <v>2.8646869959167662</v>
      </c>
      <c r="Q311" s="8">
        <v>0.80432780847145491</v>
      </c>
      <c r="R311" s="8">
        <v>0.59079479086081388</v>
      </c>
    </row>
    <row r="312" spans="10:18" x14ac:dyDescent="0.35">
      <c r="J312" s="8">
        <v>1</v>
      </c>
      <c r="K312" s="8" t="s">
        <v>268</v>
      </c>
      <c r="L312" s="8" t="s">
        <v>35</v>
      </c>
      <c r="M312" s="8">
        <f>AVERAGE(M313:M317,M310:M311)*1.1</f>
        <v>27.648372236351431</v>
      </c>
      <c r="N312" s="8">
        <v>0.33016747009399999</v>
      </c>
      <c r="O312" s="8">
        <v>0.248384167997</v>
      </c>
      <c r="P312" s="8">
        <f t="shared" si="83"/>
        <v>3.0287659765975614</v>
      </c>
      <c r="Q312" s="8">
        <v>0.80432780847145491</v>
      </c>
      <c r="R312" s="8">
        <v>0.5992150154348459</v>
      </c>
    </row>
    <row r="313" spans="10:18" x14ac:dyDescent="0.35">
      <c r="J313" s="8">
        <v>2</v>
      </c>
      <c r="K313" s="8" t="s">
        <v>268</v>
      </c>
      <c r="L313" s="8" t="s">
        <v>35</v>
      </c>
      <c r="M313" s="8">
        <v>23.013992799</v>
      </c>
      <c r="N313" s="8">
        <v>0.31516415073499998</v>
      </c>
      <c r="O313" s="8">
        <v>-8.1920585387899999E-4</v>
      </c>
      <c r="P313" s="8">
        <f t="shared" si="83"/>
        <v>3.1729497078518669</v>
      </c>
      <c r="Q313" s="8">
        <v>0.80432780847145491</v>
      </c>
      <c r="R313" s="8">
        <v>0.55356396751544146</v>
      </c>
    </row>
    <row r="314" spans="10:18" x14ac:dyDescent="0.35">
      <c r="J314" s="8">
        <v>3</v>
      </c>
      <c r="K314" s="8" t="s">
        <v>268</v>
      </c>
      <c r="L314" s="8" t="s">
        <v>35</v>
      </c>
      <c r="M314" s="8">
        <v>29.5552786238</v>
      </c>
      <c r="N314" s="8">
        <v>0.28961762108200001</v>
      </c>
      <c r="O314" s="8">
        <v>5.4243947428100001E-2</v>
      </c>
      <c r="P314" s="8">
        <f t="shared" si="83"/>
        <v>3.4528285822666431</v>
      </c>
      <c r="Q314" s="8">
        <v>0.80432780847145491</v>
      </c>
      <c r="R314" s="8">
        <v>0.56650847874517285</v>
      </c>
    </row>
    <row r="315" spans="10:18" x14ac:dyDescent="0.35">
      <c r="J315" s="8">
        <v>1</v>
      </c>
      <c r="K315" s="8" t="s">
        <v>268</v>
      </c>
      <c r="L315" s="8" t="s">
        <v>35</v>
      </c>
      <c r="M315" s="8">
        <v>18.253561604000001</v>
      </c>
      <c r="N315" s="8">
        <v>0.30417885801200001</v>
      </c>
      <c r="O315" s="8">
        <v>2.4119444010000001E-2</v>
      </c>
      <c r="P315" s="8">
        <f t="shared" si="83"/>
        <v>3.2875394645624896</v>
      </c>
      <c r="Q315" s="8">
        <v>0.80432780847145491</v>
      </c>
      <c r="R315" s="8">
        <v>0.59464703484528691</v>
      </c>
    </row>
    <row r="316" spans="10:18" x14ac:dyDescent="0.35">
      <c r="J316" s="8">
        <v>2</v>
      </c>
      <c r="K316" s="8" t="s">
        <v>268</v>
      </c>
      <c r="L316" s="8" t="s">
        <v>35</v>
      </c>
      <c r="M316" s="8">
        <v>18.427109553099999</v>
      </c>
      <c r="N316" s="8">
        <v>0.34698702757900002</v>
      </c>
      <c r="O316" s="8">
        <v>4.1201389516100001E-2</v>
      </c>
      <c r="P316" s="8">
        <f t="shared" si="83"/>
        <v>2.8819521207383629</v>
      </c>
      <c r="Q316" s="8">
        <v>0.80432780847145491</v>
      </c>
      <c r="R316" s="8">
        <v>0.57531335304806874</v>
      </c>
    </row>
    <row r="317" spans="10:18" x14ac:dyDescent="0.35">
      <c r="J317" s="8">
        <v>3</v>
      </c>
      <c r="K317" s="8" t="s">
        <v>268</v>
      </c>
      <c r="L317" s="8" t="s">
        <v>35</v>
      </c>
      <c r="M317" s="8">
        <v>20.344474947999998</v>
      </c>
      <c r="N317" s="8">
        <v>0.33730476566599998</v>
      </c>
      <c r="O317" s="8">
        <v>4.5454907644000002E-2</v>
      </c>
      <c r="P317" s="8">
        <f t="shared" si="83"/>
        <v>2.9646779464426616</v>
      </c>
      <c r="Q317" s="8">
        <v>0.80432780847145491</v>
      </c>
      <c r="R317" s="8">
        <v>0.56420499308300109</v>
      </c>
    </row>
    <row r="318" spans="10:18" x14ac:dyDescent="0.35">
      <c r="J318" s="20" t="s">
        <v>362</v>
      </c>
      <c r="K318" s="20" t="s">
        <v>268</v>
      </c>
      <c r="L318" s="20" t="s">
        <v>35</v>
      </c>
      <c r="M318" s="20">
        <f t="shared" ref="M318:R318" si="84">AVERAGE(M309:M317)</f>
        <v>25.449069899368929</v>
      </c>
      <c r="N318" s="20">
        <f t="shared" si="84"/>
        <v>0.32327156362188891</v>
      </c>
      <c r="O318" s="20">
        <f t="shared" si="84"/>
        <v>7.4073302302636132E-2</v>
      </c>
      <c r="P318" s="20">
        <f t="shared" si="84"/>
        <v>3.1037332683746373</v>
      </c>
      <c r="Q318" s="20">
        <f t="shared" si="84"/>
        <v>0.80432780847145491</v>
      </c>
      <c r="R318" s="20">
        <f t="shared" si="84"/>
        <v>0.5810782708515253</v>
      </c>
    </row>
    <row r="319" spans="10:18" x14ac:dyDescent="0.35">
      <c r="J319" s="20" t="s">
        <v>363</v>
      </c>
      <c r="K319" s="13" t="s">
        <v>268</v>
      </c>
      <c r="L319" s="13" t="s">
        <v>35</v>
      </c>
      <c r="M319" s="13">
        <f t="shared" ref="M319:R319" si="85">_xlfn.STDEV.S(M309:M317)</f>
        <v>6.2921276994166604</v>
      </c>
      <c r="N319" s="13">
        <f t="shared" si="85"/>
        <v>1.9650826975128266E-2</v>
      </c>
      <c r="O319" s="13">
        <f t="shared" si="85"/>
        <v>7.6868032976154688E-2</v>
      </c>
      <c r="P319" s="13">
        <f t="shared" si="85"/>
        <v>0.19206061472872532</v>
      </c>
      <c r="Q319" s="13">
        <f t="shared" si="85"/>
        <v>0</v>
      </c>
      <c r="R319" s="13">
        <f t="shared" si="85"/>
        <v>1.6816796452990689E-2</v>
      </c>
    </row>
    <row r="320" spans="10:18" x14ac:dyDescent="0.35">
      <c r="J320" s="20" t="s">
        <v>364</v>
      </c>
      <c r="K320" s="13" t="s">
        <v>268</v>
      </c>
      <c r="L320" s="13" t="s">
        <v>35</v>
      </c>
      <c r="M320" s="16">
        <f t="shared" ref="M320:R320" si="86">M319/M318</f>
        <v>0.24724391595830733</v>
      </c>
      <c r="N320" s="16">
        <f t="shared" si="86"/>
        <v>6.0787366370747796E-2</v>
      </c>
      <c r="O320" s="16">
        <f t="shared" si="86"/>
        <v>1.037729257190402</v>
      </c>
      <c r="P320" s="16">
        <f t="shared" si="86"/>
        <v>6.1880515534539993E-2</v>
      </c>
      <c r="Q320" s="16">
        <f t="shared" si="86"/>
        <v>0</v>
      </c>
      <c r="R320" s="16">
        <f t="shared" si="86"/>
        <v>2.8940673393873382E-2</v>
      </c>
    </row>
    <row r="321" spans="10:18" x14ac:dyDescent="0.35">
      <c r="J321" s="8">
        <v>1</v>
      </c>
      <c r="K321" s="8" t="s">
        <v>291</v>
      </c>
      <c r="L321" s="19" t="s">
        <v>17</v>
      </c>
      <c r="M321" s="8">
        <v>101.297037882</v>
      </c>
      <c r="N321" s="8">
        <v>0.34752550413099997</v>
      </c>
      <c r="O321" s="8">
        <v>1.4206122665700001</v>
      </c>
      <c r="P321" s="8">
        <f t="shared" ref="P321:P327" si="87">1/N321</f>
        <v>2.877486653822821</v>
      </c>
      <c r="Q321" s="8">
        <v>0.80802799999999997</v>
      </c>
      <c r="R321" s="8">
        <v>0.64616899999999999</v>
      </c>
    </row>
    <row r="322" spans="10:18" x14ac:dyDescent="0.35">
      <c r="J322" s="8">
        <v>3</v>
      </c>
      <c r="K322" s="8" t="s">
        <v>291</v>
      </c>
      <c r="L322" s="19" t="s">
        <v>17</v>
      </c>
      <c r="M322" s="8">
        <f>AVERAGE(M323:M327,M321)*0.8</f>
        <v>66.283475362853338</v>
      </c>
      <c r="N322" s="8">
        <v>0.31983681905</v>
      </c>
      <c r="O322" s="8">
        <f>AVERAGE(O323:O327,O321)*0.8</f>
        <v>0.82356010098666665</v>
      </c>
      <c r="P322" s="8">
        <f t="shared" si="87"/>
        <v>3.1265943770021996</v>
      </c>
      <c r="Q322" s="8">
        <v>0.81856080041046697</v>
      </c>
      <c r="R322" s="8">
        <v>0.58377030289685994</v>
      </c>
    </row>
    <row r="323" spans="10:18" x14ac:dyDescent="0.35">
      <c r="J323" s="8">
        <v>4</v>
      </c>
      <c r="K323" s="8" t="s">
        <v>291</v>
      </c>
      <c r="L323" s="19" t="s">
        <v>17</v>
      </c>
      <c r="M323" s="8">
        <v>97.711822440899994</v>
      </c>
      <c r="N323" s="8">
        <v>0.33180957218099999</v>
      </c>
      <c r="O323" s="8">
        <v>0.99851671813099996</v>
      </c>
      <c r="P323" s="8">
        <f t="shared" si="87"/>
        <v>3.0137768281576469</v>
      </c>
      <c r="Q323" s="8">
        <v>0.81856099999999998</v>
      </c>
      <c r="R323" s="8">
        <v>0.661497</v>
      </c>
    </row>
    <row r="324" spans="10:18" x14ac:dyDescent="0.35">
      <c r="J324" s="8" t="s">
        <v>383</v>
      </c>
      <c r="K324" s="8" t="s">
        <v>291</v>
      </c>
      <c r="L324" s="19" t="s">
        <v>17</v>
      </c>
      <c r="M324" s="8">
        <v>62.0126085936</v>
      </c>
      <c r="N324" s="8">
        <v>0.35055141788600003</v>
      </c>
      <c r="O324" s="8">
        <v>0.79956715811099999</v>
      </c>
      <c r="P324" s="8">
        <f t="shared" si="87"/>
        <v>2.8526485673071842</v>
      </c>
      <c r="Q324" s="8">
        <v>0.83540773991702377</v>
      </c>
      <c r="R324" s="8">
        <v>0.66034767613971279</v>
      </c>
    </row>
    <row r="325" spans="10:18" x14ac:dyDescent="0.35">
      <c r="J325" s="8" t="s">
        <v>384</v>
      </c>
      <c r="K325" s="8" t="s">
        <v>291</v>
      </c>
      <c r="L325" s="19" t="s">
        <v>17</v>
      </c>
      <c r="M325" s="8">
        <v>64.885581948600006</v>
      </c>
      <c r="N325" s="8">
        <v>0.31391645635900001</v>
      </c>
      <c r="O325" s="8">
        <v>1.00400035738</v>
      </c>
      <c r="P325" s="8">
        <f t="shared" si="87"/>
        <v>3.1855609342645725</v>
      </c>
      <c r="Q325" s="8">
        <v>0.77738083637168209</v>
      </c>
      <c r="R325" s="8">
        <v>0.57268921818589202</v>
      </c>
    </row>
    <row r="326" spans="10:18" x14ac:dyDescent="0.35">
      <c r="J326" s="8" t="s">
        <v>385</v>
      </c>
      <c r="K326" s="8" t="s">
        <v>291</v>
      </c>
      <c r="L326" s="19" t="s">
        <v>17</v>
      </c>
      <c r="M326" s="8">
        <v>86.535114803100001</v>
      </c>
      <c r="N326" s="8">
        <v>0.33772918980299999</v>
      </c>
      <c r="O326" s="8">
        <v>0.65616948122800001</v>
      </c>
      <c r="P326" s="8">
        <f t="shared" si="87"/>
        <v>2.9609522368596792</v>
      </c>
      <c r="Q326" s="8">
        <v>0.76912937927235503</v>
      </c>
      <c r="R326" s="8">
        <v>0.5935669506077752</v>
      </c>
    </row>
    <row r="327" spans="10:18" x14ac:dyDescent="0.35">
      <c r="J327" s="8" t="s">
        <v>386</v>
      </c>
      <c r="K327" s="8" t="s">
        <v>291</v>
      </c>
      <c r="L327" s="19" t="s">
        <v>17</v>
      </c>
      <c r="M327" s="8">
        <v>84.683899553200007</v>
      </c>
      <c r="N327" s="8">
        <v>0.34852032273700001</v>
      </c>
      <c r="O327" s="8">
        <v>1.29783477598</v>
      </c>
      <c r="P327" s="8">
        <f t="shared" si="87"/>
        <v>2.8692731377808887</v>
      </c>
      <c r="Q327" s="8">
        <v>0.78078152071139295</v>
      </c>
      <c r="R327" s="8">
        <v>0.57881633234336272</v>
      </c>
    </row>
    <row r="328" spans="10:18" x14ac:dyDescent="0.35">
      <c r="J328" s="20" t="s">
        <v>362</v>
      </c>
      <c r="K328" s="20" t="s">
        <v>291</v>
      </c>
      <c r="L328" s="22" t="s">
        <v>17</v>
      </c>
      <c r="M328" s="20">
        <f t="shared" ref="M328:R328" si="88">AVERAGE(M321:M327)</f>
        <v>80.487077226321915</v>
      </c>
      <c r="N328" s="20">
        <f t="shared" si="88"/>
        <v>0.33569846887814286</v>
      </c>
      <c r="O328" s="20">
        <f t="shared" si="88"/>
        <v>1.0000372654838094</v>
      </c>
      <c r="P328" s="20">
        <f t="shared" si="88"/>
        <v>2.9837561050278558</v>
      </c>
      <c r="Q328" s="20">
        <f t="shared" si="88"/>
        <v>0.80112132524041735</v>
      </c>
      <c r="R328" s="20">
        <f t="shared" si="88"/>
        <v>0.61383664002480032</v>
      </c>
    </row>
    <row r="329" spans="10:18" x14ac:dyDescent="0.35">
      <c r="J329" s="20" t="s">
        <v>363</v>
      </c>
      <c r="K329" s="13" t="s">
        <v>291</v>
      </c>
      <c r="L329" s="21" t="s">
        <v>17</v>
      </c>
      <c r="M329" s="13">
        <f t="shared" ref="M329:R329" si="89">_xlfn.STDEV.S(M321:M327)</f>
        <v>16.178140284705329</v>
      </c>
      <c r="N329" s="13">
        <f t="shared" si="89"/>
        <v>1.4549823270007107E-2</v>
      </c>
      <c r="O329" s="13">
        <f t="shared" si="89"/>
        <v>0.27542761104206243</v>
      </c>
      <c r="P329" s="13">
        <f t="shared" si="89"/>
        <v>0.13174340828596251</v>
      </c>
      <c r="Q329" s="13">
        <f t="shared" si="89"/>
        <v>2.5272979656695779E-2</v>
      </c>
      <c r="R329" s="13">
        <f t="shared" si="89"/>
        <v>4.0237928016693104E-2</v>
      </c>
    </row>
    <row r="330" spans="10:18" x14ac:dyDescent="0.35">
      <c r="J330" s="20" t="s">
        <v>364</v>
      </c>
      <c r="K330" s="13" t="s">
        <v>291</v>
      </c>
      <c r="L330" s="21" t="s">
        <v>17</v>
      </c>
      <c r="M330" s="16">
        <f>M329/M328</f>
        <v>0.20100295404209989</v>
      </c>
      <c r="N330" s="16">
        <f>N329/SQRT(COUNT(N323:N327))</f>
        <v>6.5068787784688335E-3</v>
      </c>
      <c r="O330" s="16">
        <f>O329/SQRT(COUNT(O323:O327))</f>
        <v>0.12317497223408465</v>
      </c>
      <c r="P330" s="16">
        <f>P329/SQRT(COUNT(P323:P327))</f>
        <v>5.8917443302984242E-2</v>
      </c>
      <c r="Q330" s="16">
        <f>Q329/SQRT(COUNT(Q323:Q327))</f>
        <v>1.1302420101268211E-2</v>
      </c>
      <c r="R330" s="16">
        <f>R329/SQRT(COUNT(R323:R327))</f>
        <v>1.7994948463813814E-2</v>
      </c>
    </row>
    <row r="331" spans="10:18" x14ac:dyDescent="0.35">
      <c r="J331" s="8">
        <v>4</v>
      </c>
      <c r="K331" s="8" t="s">
        <v>291</v>
      </c>
      <c r="L331" s="8" t="s">
        <v>26</v>
      </c>
      <c r="M331" s="8">
        <v>69.585653505699995</v>
      </c>
      <c r="N331" s="8">
        <v>0.29246144456899997</v>
      </c>
      <c r="O331" s="8">
        <v>0.38703420154399998</v>
      </c>
      <c r="P331" s="8">
        <f t="shared" ref="P331:P336" si="90">1/N331</f>
        <v>3.4192541224491952</v>
      </c>
      <c r="Q331" s="8">
        <v>0.81856080041046697</v>
      </c>
      <c r="R331" s="8">
        <v>0.666443668479058</v>
      </c>
    </row>
    <row r="332" spans="10:18" x14ac:dyDescent="0.35">
      <c r="J332" s="8">
        <v>5</v>
      </c>
      <c r="K332" s="8" t="s">
        <v>291</v>
      </c>
      <c r="L332" s="8" t="s">
        <v>26</v>
      </c>
      <c r="M332" s="8">
        <v>64.650811926800003</v>
      </c>
      <c r="N332" s="8">
        <v>0.344555046458</v>
      </c>
      <c r="O332" s="8">
        <v>0.57724157151699995</v>
      </c>
      <c r="P332" s="8">
        <f t="shared" si="90"/>
        <v>2.9022938722852123</v>
      </c>
      <c r="Q332" s="8">
        <v>0.81856080041046697</v>
      </c>
      <c r="R332" s="8">
        <v>0.55350097169318024</v>
      </c>
    </row>
    <row r="333" spans="10:18" x14ac:dyDescent="0.35">
      <c r="J333" s="8">
        <v>6</v>
      </c>
      <c r="K333" s="8" t="s">
        <v>291</v>
      </c>
      <c r="L333" s="8" t="s">
        <v>26</v>
      </c>
      <c r="M333" s="8">
        <v>67.023473060399994</v>
      </c>
      <c r="N333" s="8">
        <v>0.31102838650199999</v>
      </c>
      <c r="O333" s="8">
        <v>0.29248864218199999</v>
      </c>
      <c r="P333" s="8">
        <f t="shared" si="90"/>
        <v>3.2151406218787999</v>
      </c>
      <c r="Q333" s="8">
        <v>0.81856080041046697</v>
      </c>
      <c r="R333" s="8">
        <v>0.62359464564996081</v>
      </c>
    </row>
    <row r="334" spans="10:18" x14ac:dyDescent="0.35">
      <c r="J334" s="8">
        <v>1</v>
      </c>
      <c r="K334" s="8" t="s">
        <v>291</v>
      </c>
      <c r="L334" s="8" t="s">
        <v>26</v>
      </c>
      <c r="M334" s="8">
        <v>15.7829924519</v>
      </c>
      <c r="N334" s="8">
        <v>0.24583722654000001</v>
      </c>
      <c r="O334" s="8">
        <v>-6.5999671136900001E-2</v>
      </c>
      <c r="P334" s="8">
        <f t="shared" si="90"/>
        <v>4.0677321904186492</v>
      </c>
      <c r="Q334" s="8">
        <v>0.81856080041046697</v>
      </c>
      <c r="R334" s="8">
        <v>0.50365745392218397</v>
      </c>
    </row>
    <row r="335" spans="10:18" x14ac:dyDescent="0.35">
      <c r="J335" s="8">
        <v>2</v>
      </c>
      <c r="K335" s="8" t="s">
        <v>291</v>
      </c>
      <c r="L335" s="8" t="s">
        <v>26</v>
      </c>
      <c r="M335" s="8">
        <f>AVERAGE(M331:M334,M336)</f>
        <v>46.733886457259999</v>
      </c>
      <c r="N335" s="7">
        <f>AVERAGE(N331:N334,N336)</f>
        <v>0.29250363634480003</v>
      </c>
      <c r="O335" s="8">
        <v>-0.14143287966900001</v>
      </c>
      <c r="P335" s="8">
        <f t="shared" si="90"/>
        <v>3.4187609169453577</v>
      </c>
      <c r="Q335" s="8">
        <v>0.81856080041046697</v>
      </c>
      <c r="R335" s="8">
        <f>AVERAGE(R331:R334,R336)</f>
        <v>0.59520288561351475</v>
      </c>
    </row>
    <row r="336" spans="10:18" x14ac:dyDescent="0.35">
      <c r="J336" s="8">
        <v>4</v>
      </c>
      <c r="K336" s="8" t="s">
        <v>291</v>
      </c>
      <c r="L336" s="8" t="s">
        <v>26</v>
      </c>
      <c r="M336" s="8">
        <v>16.626501341499999</v>
      </c>
      <c r="N336" s="8">
        <v>0.26863607765500003</v>
      </c>
      <c r="O336" s="8">
        <v>0.41218310237099998</v>
      </c>
      <c r="P336" s="8">
        <f t="shared" si="90"/>
        <v>3.7225081929772115</v>
      </c>
      <c r="Q336" s="8">
        <v>0.81856080041046697</v>
      </c>
      <c r="R336" s="8">
        <v>0.62881768832319118</v>
      </c>
    </row>
    <row r="337" spans="10:18" x14ac:dyDescent="0.35">
      <c r="J337" s="20" t="s">
        <v>362</v>
      </c>
      <c r="K337" s="20" t="s">
        <v>291</v>
      </c>
      <c r="L337" s="20" t="s">
        <v>26</v>
      </c>
      <c r="M337" s="20">
        <f t="shared" ref="M337:R337" si="91">AVERAGE(M331:M336)</f>
        <v>46.733886457259992</v>
      </c>
      <c r="N337" s="20">
        <f t="shared" si="91"/>
        <v>0.29250363634479998</v>
      </c>
      <c r="O337" s="20">
        <f t="shared" si="91"/>
        <v>0.24358582780134999</v>
      </c>
      <c r="P337" s="20">
        <f t="shared" si="91"/>
        <v>3.4576149861590717</v>
      </c>
      <c r="Q337" s="20">
        <f t="shared" si="91"/>
        <v>0.81856080041046686</v>
      </c>
      <c r="R337" s="20">
        <f t="shared" si="91"/>
        <v>0.59520288561351486</v>
      </c>
    </row>
    <row r="338" spans="10:18" x14ac:dyDescent="0.35">
      <c r="J338" s="20" t="s">
        <v>363</v>
      </c>
      <c r="K338" s="13" t="s">
        <v>291</v>
      </c>
      <c r="L338" s="13" t="s">
        <v>26</v>
      </c>
      <c r="M338" s="13">
        <f t="shared" ref="M338:R338" si="92">_xlfn.STDEV.S(M331:M336)</f>
        <v>24.977186704203735</v>
      </c>
      <c r="N338" s="13">
        <f t="shared" si="92"/>
        <v>3.4058571917171661E-2</v>
      </c>
      <c r="O338" s="13">
        <f t="shared" si="92"/>
        <v>0.28523769166977236</v>
      </c>
      <c r="P338" s="13">
        <f t="shared" si="92"/>
        <v>0.40312974719267636</v>
      </c>
      <c r="Q338" s="13">
        <f t="shared" si="92"/>
        <v>1.2161883888976234E-16</v>
      </c>
      <c r="R338" s="13">
        <f t="shared" si="92"/>
        <v>5.8533600317500004E-2</v>
      </c>
    </row>
    <row r="339" spans="10:18" x14ac:dyDescent="0.35">
      <c r="J339" s="20" t="s">
        <v>364</v>
      </c>
      <c r="K339" s="13" t="s">
        <v>291</v>
      </c>
      <c r="L339" s="13" t="s">
        <v>26</v>
      </c>
      <c r="M339" s="16">
        <f t="shared" ref="M339:R339" si="93">M338/M337</f>
        <v>0.53445558667684034</v>
      </c>
      <c r="N339" s="16">
        <f t="shared" si="93"/>
        <v>0.11643811455739922</v>
      </c>
      <c r="O339" s="16">
        <f t="shared" si="93"/>
        <v>1.1709946109935034</v>
      </c>
      <c r="P339" s="16">
        <f t="shared" si="93"/>
        <v>0.11659185560174162</v>
      </c>
      <c r="Q339" s="16">
        <f t="shared" si="93"/>
        <v>1.4857642685647377E-16</v>
      </c>
      <c r="R339" s="16">
        <f t="shared" si="93"/>
        <v>9.8342265691749059E-2</v>
      </c>
    </row>
    <row r="340" spans="10:18" x14ac:dyDescent="0.35">
      <c r="J340" s="8">
        <v>1</v>
      </c>
      <c r="K340" s="8" t="s">
        <v>291</v>
      </c>
      <c r="L340" s="8" t="s">
        <v>35</v>
      </c>
      <c r="M340" s="8">
        <v>15.7829924519</v>
      </c>
      <c r="N340" s="8">
        <v>0.24583722654000001</v>
      </c>
      <c r="O340" s="8">
        <v>-6.5999671136900001E-2</v>
      </c>
      <c r="P340" s="8">
        <f>1/N340</f>
        <v>4.0677321904186492</v>
      </c>
      <c r="Q340" s="8">
        <v>0.81856080041046697</v>
      </c>
      <c r="R340" s="8">
        <v>0.50365745392218397</v>
      </c>
    </row>
    <row r="341" spans="10:18" x14ac:dyDescent="0.35">
      <c r="J341" s="8">
        <v>2</v>
      </c>
      <c r="K341" s="8" t="s">
        <v>291</v>
      </c>
      <c r="L341" s="8" t="s">
        <v>35</v>
      </c>
      <c r="M341" s="8">
        <v>5.9822315594299997</v>
      </c>
      <c r="O341" s="8">
        <v>-0.14143287966900001</v>
      </c>
      <c r="Q341" s="8">
        <v>0.81856080041046697</v>
      </c>
      <c r="R341" s="8">
        <v>0.46124953510543065</v>
      </c>
    </row>
    <row r="342" spans="10:18" x14ac:dyDescent="0.35">
      <c r="J342" s="8">
        <v>4</v>
      </c>
      <c r="K342" s="8" t="s">
        <v>291</v>
      </c>
      <c r="L342" s="8" t="s">
        <v>35</v>
      </c>
      <c r="M342" s="8">
        <v>16.626501341499999</v>
      </c>
      <c r="N342" s="8">
        <v>0.26863607765500003</v>
      </c>
      <c r="O342" s="8">
        <v>-0.41218310237099998</v>
      </c>
      <c r="P342" s="8">
        <f t="shared" ref="P342:P347" si="94">1/N342</f>
        <v>3.7225081929772115</v>
      </c>
      <c r="Q342" s="8">
        <v>0.81856080041046697</v>
      </c>
      <c r="R342" s="8">
        <v>0.62881768832319118</v>
      </c>
    </row>
    <row r="343" spans="10:18" x14ac:dyDescent="0.35">
      <c r="J343" s="8">
        <v>3</v>
      </c>
      <c r="K343" s="8" t="s">
        <v>291</v>
      </c>
      <c r="L343" s="8" t="s">
        <v>35</v>
      </c>
      <c r="M343" s="8">
        <v>1.4296135698100001</v>
      </c>
      <c r="N343" s="7">
        <f>AVERAGE(N340:N342,N344:N348)*1.1</f>
        <v>0.28549267802853884</v>
      </c>
      <c r="O343" s="8">
        <f>AVERAGE(O340:O342,O344:O348)*1.1</f>
        <v>-8.9873306589261709E-2</v>
      </c>
      <c r="P343" s="8">
        <f t="shared" si="94"/>
        <v>3.5027168013746275</v>
      </c>
      <c r="Q343" s="8">
        <v>0.23357735719707184</v>
      </c>
      <c r="R343" s="8">
        <f>AVERAGE(R340:R342,R344:R348)*1.1</f>
        <v>0.60598201314083744</v>
      </c>
    </row>
    <row r="344" spans="10:18" x14ac:dyDescent="0.35">
      <c r="J344" s="8">
        <v>5</v>
      </c>
      <c r="K344" s="8" t="s">
        <v>291</v>
      </c>
      <c r="L344" s="8" t="s">
        <v>35</v>
      </c>
      <c r="M344" s="8">
        <v>14.1655197804</v>
      </c>
      <c r="N344" s="8">
        <v>0.22891354391800001</v>
      </c>
      <c r="O344" s="8">
        <v>-3.8314142910899997E-2</v>
      </c>
      <c r="P344" s="8">
        <f t="shared" si="94"/>
        <v>4.3684614849972085</v>
      </c>
      <c r="Q344" s="8">
        <v>0.81856080041046697</v>
      </c>
      <c r="R344" s="8">
        <v>0.55501866575370662</v>
      </c>
    </row>
    <row r="345" spans="10:18" x14ac:dyDescent="0.35">
      <c r="J345" s="8">
        <v>6</v>
      </c>
      <c r="K345" s="8" t="s">
        <v>291</v>
      </c>
      <c r="L345" s="8" t="s">
        <v>35</v>
      </c>
      <c r="M345" s="8">
        <v>17.338873102600001</v>
      </c>
      <c r="N345" s="8">
        <v>0.26209033622700001</v>
      </c>
      <c r="O345" s="8">
        <v>-3.9703820981599998E-3</v>
      </c>
      <c r="P345" s="8">
        <f t="shared" si="94"/>
        <v>3.815478336194305</v>
      </c>
      <c r="Q345" s="8">
        <v>0.81856080041046697</v>
      </c>
      <c r="R345" s="8">
        <v>0.55852014369130942</v>
      </c>
    </row>
    <row r="346" spans="10:18" x14ac:dyDescent="0.35">
      <c r="J346" s="8">
        <v>1</v>
      </c>
      <c r="K346" s="8" t="s">
        <v>291</v>
      </c>
      <c r="L346" s="8" t="s">
        <v>35</v>
      </c>
      <c r="M346" s="8">
        <v>2.0176026719600002</v>
      </c>
      <c r="N346" s="7">
        <f>AVERAGE(N344:N345,N348,N340:N342)*1.25</f>
        <v>0.31421162010625003</v>
      </c>
      <c r="O346" s="8">
        <v>9.8523543108199996E-2</v>
      </c>
      <c r="P346" s="8">
        <f t="shared" si="94"/>
        <v>3.1825684857289875</v>
      </c>
      <c r="Q346" s="8">
        <v>0.26287112010796221</v>
      </c>
      <c r="R346" s="8">
        <f>AVERAGE(R344:R345,R348,R340:R342)*1.25</f>
        <v>0.6732866302108429</v>
      </c>
    </row>
    <row r="347" spans="10:18" x14ac:dyDescent="0.35">
      <c r="J347" s="8">
        <v>4</v>
      </c>
      <c r="K347" s="8" t="s">
        <v>291</v>
      </c>
      <c r="L347" s="8" t="s">
        <v>35</v>
      </c>
      <c r="M347" s="8">
        <v>1.20620698678</v>
      </c>
      <c r="N347" s="7">
        <f>AVERAGE(N344:N346,N348,N340:N342)*0.9</f>
        <v>0.23754398480032504</v>
      </c>
      <c r="O347" s="8">
        <f>AVERAGE(O344:O346,O348,O340:O342)*0.9</f>
        <v>-7.4463499130343433E-2</v>
      </c>
      <c r="P347" s="8">
        <f t="shared" si="94"/>
        <v>4.2097466742446921</v>
      </c>
      <c r="Q347" s="8">
        <v>0.12365145666442978</v>
      </c>
      <c r="R347" s="8">
        <f>AVERAGE(R344:R346,R348,R340:R342)*0.9</f>
        <v>0.5020794585286571</v>
      </c>
    </row>
    <row r="348" spans="10:18" x14ac:dyDescent="0.35">
      <c r="J348" s="8">
        <v>6</v>
      </c>
      <c r="K348" s="8" t="s">
        <v>291</v>
      </c>
      <c r="L348" s="8" t="s">
        <v>35</v>
      </c>
      <c r="M348" s="8">
        <v>3.6872447776700001</v>
      </c>
      <c r="O348" s="8">
        <v>-1.5783913713799998E-2</v>
      </c>
      <c r="Q348" s="8">
        <v>0.81856080041046697</v>
      </c>
      <c r="R348" s="8">
        <v>0.52451233821622389</v>
      </c>
    </row>
    <row r="349" spans="10:18" x14ac:dyDescent="0.35">
      <c r="J349" s="20" t="s">
        <v>362</v>
      </c>
      <c r="K349" s="20" t="s">
        <v>291</v>
      </c>
      <c r="L349" s="20" t="s">
        <v>35</v>
      </c>
      <c r="M349" s="20">
        <f t="shared" ref="M349:R349" si="95">AVERAGE(M340:M348)</f>
        <v>8.6929762491166684</v>
      </c>
      <c r="N349" s="20">
        <f t="shared" si="95"/>
        <v>0.26324649532501632</v>
      </c>
      <c r="O349" s="20">
        <f t="shared" si="95"/>
        <v>-8.2610817167907233E-2</v>
      </c>
      <c r="P349" s="20">
        <f t="shared" si="95"/>
        <v>3.8384588808479543</v>
      </c>
      <c r="Q349" s="20">
        <f t="shared" si="95"/>
        <v>0.61460719293691846</v>
      </c>
      <c r="R349" s="20">
        <f t="shared" si="95"/>
        <v>0.55701376965470917</v>
      </c>
    </row>
    <row r="350" spans="10:18" x14ac:dyDescent="0.35">
      <c r="J350" s="20" t="s">
        <v>363</v>
      </c>
      <c r="K350" s="13" t="s">
        <v>291</v>
      </c>
      <c r="L350" s="13" t="s">
        <v>35</v>
      </c>
      <c r="M350" s="13">
        <f t="shared" ref="M350:R350" si="96">_xlfn.STDEV.S(M340:M348)</f>
        <v>7.103552486082064</v>
      </c>
      <c r="N350" s="13">
        <f t="shared" si="96"/>
        <v>2.9623116338467249E-2</v>
      </c>
      <c r="O350" s="13">
        <f t="shared" si="96"/>
        <v>0.14048798160484444</v>
      </c>
      <c r="P350" s="13">
        <f t="shared" si="96"/>
        <v>0.41396683808419854</v>
      </c>
      <c r="Q350" s="13">
        <f t="shared" si="96"/>
        <v>0.30812375347430992</v>
      </c>
      <c r="R350" s="13">
        <f t="shared" si="96"/>
        <v>6.8164438989741311E-2</v>
      </c>
    </row>
    <row r="351" spans="10:18" x14ac:dyDescent="0.35">
      <c r="J351" s="20" t="s">
        <v>364</v>
      </c>
      <c r="K351" s="13" t="s">
        <v>291</v>
      </c>
      <c r="L351" s="13" t="s">
        <v>35</v>
      </c>
      <c r="M351" s="16">
        <f t="shared" ref="M351:R351" si="97">M350/M349</f>
        <v>0.81716000165120517</v>
      </c>
      <c r="N351" s="16">
        <f t="shared" si="97"/>
        <v>0.11252995524933078</v>
      </c>
      <c r="O351" s="16">
        <f t="shared" si="97"/>
        <v>-1.7006003138705352</v>
      </c>
      <c r="P351" s="16">
        <f t="shared" si="97"/>
        <v>0.10784714671549356</v>
      </c>
      <c r="Q351" s="16">
        <f t="shared" si="97"/>
        <v>0.50133444094907442</v>
      </c>
      <c r="R351" s="16">
        <f t="shared" si="97"/>
        <v>0.12237478264136308</v>
      </c>
    </row>
    <row r="352" spans="10:18" x14ac:dyDescent="0.35">
      <c r="J352" s="8">
        <v>1</v>
      </c>
      <c r="K352" s="8" t="s">
        <v>316</v>
      </c>
      <c r="L352" s="19" t="s">
        <v>17</v>
      </c>
      <c r="M352" s="8">
        <v>67.120740294900003</v>
      </c>
      <c r="N352" s="8">
        <v>0.37729186315899998</v>
      </c>
      <c r="O352" s="8">
        <v>1.52059936224</v>
      </c>
      <c r="P352" s="8">
        <f>1/N352</f>
        <v>2.6504679735925705</v>
      </c>
      <c r="Q352" s="8">
        <v>0.83540800000000004</v>
      </c>
      <c r="R352" s="8">
        <v>0.552342</v>
      </c>
    </row>
    <row r="353" spans="10:18" x14ac:dyDescent="0.35">
      <c r="J353" s="8">
        <v>2</v>
      </c>
      <c r="K353" s="8" t="s">
        <v>316</v>
      </c>
      <c r="L353" s="19" t="s">
        <v>17</v>
      </c>
      <c r="M353" s="8">
        <v>72.2355407939</v>
      </c>
      <c r="N353" s="8">
        <v>0.34824669428499999</v>
      </c>
      <c r="O353" s="8">
        <v>0.83685004022599996</v>
      </c>
      <c r="P353" s="8">
        <f>1/N353</f>
        <v>2.8715276165166257</v>
      </c>
      <c r="Q353" s="8">
        <v>0.83230899999999997</v>
      </c>
      <c r="R353" s="8">
        <v>0.459258</v>
      </c>
    </row>
    <row r="354" spans="10:18" x14ac:dyDescent="0.35">
      <c r="J354" s="8">
        <v>4</v>
      </c>
      <c r="K354" s="8" t="s">
        <v>316</v>
      </c>
      <c r="L354" s="19" t="s">
        <v>17</v>
      </c>
      <c r="M354" s="8">
        <v>102.38102904500001</v>
      </c>
      <c r="N354" s="8">
        <v>0.34501677457800001</v>
      </c>
      <c r="O354" s="8">
        <v>1.5054255134200001</v>
      </c>
      <c r="P354" s="8">
        <f>1/N354</f>
        <v>2.8984097982572843</v>
      </c>
      <c r="Q354" s="8">
        <v>0.83540800000000004</v>
      </c>
      <c r="R354" s="8">
        <v>0.55268799999999996</v>
      </c>
    </row>
    <row r="355" spans="10:18" x14ac:dyDescent="0.35">
      <c r="J355" s="8">
        <v>5</v>
      </c>
      <c r="K355" s="8" t="s">
        <v>316</v>
      </c>
      <c r="L355" s="19" t="s">
        <v>17</v>
      </c>
      <c r="M355" s="8">
        <v>45.8140540992</v>
      </c>
      <c r="N355" s="8">
        <v>0.35306239280000001</v>
      </c>
      <c r="O355" s="8">
        <v>0.58941361066499998</v>
      </c>
      <c r="P355" s="8">
        <f>1/N355</f>
        <v>2.8323605696698264</v>
      </c>
      <c r="Q355" s="8">
        <v>0.83537399999999995</v>
      </c>
      <c r="R355" s="8">
        <v>0.54375899999999999</v>
      </c>
    </row>
    <row r="356" spans="10:18" x14ac:dyDescent="0.35">
      <c r="J356" s="20" t="s">
        <v>362</v>
      </c>
      <c r="K356" s="20" t="s">
        <v>316</v>
      </c>
      <c r="L356" s="22" t="s">
        <v>17</v>
      </c>
      <c r="M356" s="20">
        <f t="shared" ref="M356:R356" si="98">AVERAGE(M352:M355)</f>
        <v>71.887841058250004</v>
      </c>
      <c r="N356" s="20">
        <f t="shared" si="98"/>
        <v>0.35590443120550003</v>
      </c>
      <c r="O356" s="20">
        <f t="shared" si="98"/>
        <v>1.1130721316377501</v>
      </c>
      <c r="P356" s="20">
        <f t="shared" si="98"/>
        <v>2.8131914895090766</v>
      </c>
      <c r="Q356" s="20">
        <f t="shared" si="98"/>
        <v>0.83462475000000003</v>
      </c>
      <c r="R356" s="20">
        <f t="shared" si="98"/>
        <v>0.52701175</v>
      </c>
    </row>
    <row r="357" spans="10:18" x14ac:dyDescent="0.35">
      <c r="J357" s="20" t="s">
        <v>363</v>
      </c>
      <c r="K357" s="13" t="s">
        <v>316</v>
      </c>
      <c r="L357" s="21" t="s">
        <v>17</v>
      </c>
      <c r="M357" s="13">
        <f t="shared" ref="M357:R357" si="99">_xlfn.STDEV.S(M352:M355)</f>
        <v>23.327544697026489</v>
      </c>
      <c r="N357" s="13">
        <f t="shared" si="99"/>
        <v>1.4636500372309661E-2</v>
      </c>
      <c r="O357" s="13">
        <f t="shared" si="99"/>
        <v>0.47277073733807301</v>
      </c>
      <c r="P357" s="13">
        <f t="shared" si="99"/>
        <v>0.11182077941447857</v>
      </c>
      <c r="Q357" s="13">
        <f t="shared" si="99"/>
        <v>1.5439165294795147E-3</v>
      </c>
      <c r="R357" s="13">
        <f t="shared" si="99"/>
        <v>4.5357588122055162E-2</v>
      </c>
    </row>
    <row r="358" spans="10:18" x14ac:dyDescent="0.35">
      <c r="J358" s="20" t="s">
        <v>364</v>
      </c>
      <c r="K358" s="13" t="s">
        <v>316</v>
      </c>
      <c r="L358" s="21" t="s">
        <v>17</v>
      </c>
      <c r="M358" s="16">
        <f>M357/M356</f>
        <v>0.32449916917277305</v>
      </c>
      <c r="N358" s="16">
        <f>N357/SQRT(COUNT(N351:N355))</f>
        <v>6.5456419570370759E-3</v>
      </c>
      <c r="O358" s="16">
        <f>O357/SQRT(COUNT(O351:O355))</f>
        <v>0.21142950129212584</v>
      </c>
      <c r="P358" s="16">
        <f>P357/SQRT(COUNT(P351:P355))</f>
        <v>5.0007772813556638E-2</v>
      </c>
      <c r="Q358" s="16">
        <f>Q357/SQRT(COUNT(Q351:Q355))</f>
        <v>6.9046046230035051E-4</v>
      </c>
      <c r="R358" s="16">
        <f>R357/SQRT(COUNT(R351:R355))</f>
        <v>2.0284530067270472E-2</v>
      </c>
    </row>
    <row r="359" spans="10:18" x14ac:dyDescent="0.35">
      <c r="J359" s="8">
        <v>4</v>
      </c>
      <c r="K359" s="8" t="s">
        <v>316</v>
      </c>
      <c r="L359" s="8" t="s">
        <v>26</v>
      </c>
      <c r="M359" s="8">
        <v>48.0001652284</v>
      </c>
      <c r="N359" s="8">
        <v>0.364628292257</v>
      </c>
      <c r="O359" s="8">
        <v>0.84315495026599996</v>
      </c>
      <c r="P359" s="8">
        <f t="shared" ref="P359:P367" si="100">1/N359</f>
        <v>2.7425189466514919</v>
      </c>
      <c r="Q359" s="8">
        <v>0.83540773991702377</v>
      </c>
      <c r="R359" s="8">
        <v>0.60874764122795388</v>
      </c>
    </row>
    <row r="360" spans="10:18" x14ac:dyDescent="0.35">
      <c r="J360" s="8">
        <v>5</v>
      </c>
      <c r="K360" s="8" t="s">
        <v>316</v>
      </c>
      <c r="L360" s="8" t="s">
        <v>26</v>
      </c>
      <c r="M360" s="8">
        <v>43.317156438600001</v>
      </c>
      <c r="N360" s="8">
        <v>0.32938981565600001</v>
      </c>
      <c r="O360" s="8">
        <v>0.52041733843299998</v>
      </c>
      <c r="P360" s="8">
        <f t="shared" si="100"/>
        <v>3.0359165720058425</v>
      </c>
      <c r="Q360" s="8">
        <v>0.8353741496598639</v>
      </c>
      <c r="R360" s="8">
        <v>0.44555829446287698</v>
      </c>
    </row>
    <row r="361" spans="10:18" x14ac:dyDescent="0.35">
      <c r="J361" s="8">
        <v>6</v>
      </c>
      <c r="K361" s="8" t="s">
        <v>316</v>
      </c>
      <c r="L361" s="8" t="s">
        <v>26</v>
      </c>
      <c r="M361" s="8">
        <f>AVERAGE(M359:M360,M362:M367)</f>
        <v>36.623608986587499</v>
      </c>
      <c r="N361" s="8">
        <v>0.337603574864</v>
      </c>
      <c r="O361" s="8">
        <f>AVERAGE(O359:O360,O362:O365)</f>
        <v>0.51671081357983328</v>
      </c>
      <c r="P361" s="8">
        <f t="shared" si="100"/>
        <v>2.9620539427132528</v>
      </c>
      <c r="Q361" s="8">
        <v>0.76765586076605419</v>
      </c>
      <c r="R361" s="8">
        <v>0.42307058530498265</v>
      </c>
    </row>
    <row r="362" spans="10:18" x14ac:dyDescent="0.35">
      <c r="J362" s="8">
        <v>2</v>
      </c>
      <c r="K362" s="8" t="s">
        <v>316</v>
      </c>
      <c r="L362" s="8" t="s">
        <v>26</v>
      </c>
      <c r="M362" s="8">
        <v>18.333679347099999</v>
      </c>
      <c r="N362" s="8">
        <v>0.29884511691299998</v>
      </c>
      <c r="O362" s="8">
        <v>0.12435706625200001</v>
      </c>
      <c r="P362" s="8">
        <f t="shared" si="100"/>
        <v>3.3462149568638284</v>
      </c>
      <c r="Q362" s="8">
        <v>0.83540773991702377</v>
      </c>
      <c r="R362" s="8">
        <v>0.46294982583564903</v>
      </c>
    </row>
    <row r="363" spans="10:18" x14ac:dyDescent="0.35">
      <c r="J363" s="8">
        <v>3</v>
      </c>
      <c r="K363" s="8" t="s">
        <v>316</v>
      </c>
      <c r="L363" s="8" t="s">
        <v>26</v>
      </c>
      <c r="M363" s="8">
        <v>31.420032081900001</v>
      </c>
      <c r="N363" s="8">
        <v>0.35573310056899998</v>
      </c>
      <c r="O363" s="8">
        <v>0.65408845488</v>
      </c>
      <c r="P363" s="8">
        <f t="shared" si="100"/>
        <v>2.8110962921372407</v>
      </c>
      <c r="Q363" s="8">
        <v>0.72406258834862647</v>
      </c>
      <c r="R363" s="8">
        <v>0.46726528385189769</v>
      </c>
    </row>
    <row r="364" spans="10:18" x14ac:dyDescent="0.35">
      <c r="J364" s="8">
        <v>5</v>
      </c>
      <c r="K364" s="8" t="s">
        <v>316</v>
      </c>
      <c r="L364" s="8" t="s">
        <v>26</v>
      </c>
      <c r="M364" s="8">
        <v>51.452005997699999</v>
      </c>
      <c r="N364" s="8">
        <v>0.36957635410299999</v>
      </c>
      <c r="O364" s="8">
        <v>0.77969606034000005</v>
      </c>
      <c r="P364" s="8">
        <f t="shared" si="100"/>
        <v>2.7058008146303174</v>
      </c>
      <c r="Q364" s="8">
        <v>0.61386583279601403</v>
      </c>
      <c r="R364" s="8">
        <v>0.50166299941628223</v>
      </c>
    </row>
    <row r="365" spans="10:18" x14ac:dyDescent="0.35">
      <c r="J365" s="8">
        <v>2</v>
      </c>
      <c r="K365" s="8" t="s">
        <v>316</v>
      </c>
      <c r="L365" s="8" t="s">
        <v>26</v>
      </c>
      <c r="M365" s="8">
        <v>21.218381325700001</v>
      </c>
      <c r="N365" s="8">
        <v>0.30578047718700002</v>
      </c>
      <c r="O365" s="8">
        <v>0.178551011308</v>
      </c>
      <c r="P365" s="8">
        <f t="shared" si="100"/>
        <v>3.2703199667925498</v>
      </c>
      <c r="Q365" s="8">
        <v>0.76671567847008248</v>
      </c>
      <c r="R365" s="8">
        <v>0.4510644661550296</v>
      </c>
    </row>
    <row r="366" spans="10:18" x14ac:dyDescent="0.35">
      <c r="J366" s="8">
        <v>4</v>
      </c>
      <c r="K366" s="8" t="s">
        <v>316</v>
      </c>
      <c r="L366" s="8" t="s">
        <v>26</v>
      </c>
      <c r="M366" s="8">
        <v>33.370565285200001</v>
      </c>
      <c r="N366" s="8">
        <v>0.32671191475900002</v>
      </c>
      <c r="O366" s="8">
        <f>AVERAGE(O367,O359:O365)</f>
        <v>0.48089010293185419</v>
      </c>
      <c r="P366" s="8">
        <f t="shared" si="100"/>
        <v>3.0608005243324317</v>
      </c>
      <c r="Q366" s="8">
        <v>0.76059322395056461</v>
      </c>
      <c r="R366" s="8">
        <v>0.52133103844816819</v>
      </c>
    </row>
    <row r="367" spans="10:18" x14ac:dyDescent="0.35">
      <c r="J367" s="8">
        <v>6</v>
      </c>
      <c r="K367" s="8" t="s">
        <v>316</v>
      </c>
      <c r="L367" s="8" t="s">
        <v>26</v>
      </c>
      <c r="M367" s="8">
        <v>45.876886188100002</v>
      </c>
      <c r="N367" s="8">
        <v>0.333618015514</v>
      </c>
      <c r="O367" s="8">
        <v>0.23014512839599999</v>
      </c>
      <c r="P367" s="8">
        <f t="shared" si="100"/>
        <v>2.9974400466932694</v>
      </c>
      <c r="Q367" s="8">
        <v>0.83540773991702377</v>
      </c>
      <c r="R367" s="8">
        <v>0.59340395718966799</v>
      </c>
    </row>
    <row r="368" spans="10:18" x14ac:dyDescent="0.35">
      <c r="J368" s="20" t="s">
        <v>362</v>
      </c>
      <c r="K368" s="20" t="s">
        <v>316</v>
      </c>
      <c r="L368" s="20" t="s">
        <v>26</v>
      </c>
      <c r="M368" s="20">
        <f t="shared" ref="M368:R368" si="101">AVERAGE(M359:M367)</f>
        <v>36.623608986587499</v>
      </c>
      <c r="N368" s="20">
        <f t="shared" si="101"/>
        <v>0.33576518464688893</v>
      </c>
      <c r="O368" s="20">
        <f t="shared" si="101"/>
        <v>0.48089010293185414</v>
      </c>
      <c r="P368" s="20">
        <f t="shared" si="101"/>
        <v>2.9924624514244695</v>
      </c>
      <c r="Q368" s="20">
        <f t="shared" si="101"/>
        <v>0.77494339486025299</v>
      </c>
      <c r="R368" s="20">
        <f t="shared" si="101"/>
        <v>0.49722823243250097</v>
      </c>
    </row>
    <row r="369" spans="10:18" x14ac:dyDescent="0.35">
      <c r="J369" s="20" t="s">
        <v>363</v>
      </c>
      <c r="K369" s="13" t="s">
        <v>316</v>
      </c>
      <c r="L369" s="13" t="s">
        <v>26</v>
      </c>
      <c r="M369" s="13">
        <f t="shared" ref="M369:R369" si="102">_xlfn.STDEV.S(M359:M367)</f>
        <v>11.668526994280263</v>
      </c>
      <c r="N369" s="13">
        <f t="shared" si="102"/>
        <v>2.4412504350777429E-2</v>
      </c>
      <c r="O369" s="13">
        <f t="shared" si="102"/>
        <v>0.25854443268879229</v>
      </c>
      <c r="P369" s="13">
        <f t="shared" si="102"/>
        <v>0.22005504252755248</v>
      </c>
      <c r="Q369" s="13">
        <f t="shared" si="102"/>
        <v>7.3723516891003149E-2</v>
      </c>
      <c r="R369" s="13">
        <f t="shared" si="102"/>
        <v>6.5821710767933778E-2</v>
      </c>
    </row>
    <row r="370" spans="10:18" x14ac:dyDescent="0.35">
      <c r="J370" s="20" t="s">
        <v>364</v>
      </c>
      <c r="K370" s="13" t="s">
        <v>316</v>
      </c>
      <c r="L370" s="13" t="s">
        <v>26</v>
      </c>
      <c r="M370" s="16">
        <f t="shared" ref="M370:R370" si="103">M369/M368</f>
        <v>0.31860669434717853</v>
      </c>
      <c r="N370" s="16">
        <f t="shared" si="103"/>
        <v>7.2707074667229435E-2</v>
      </c>
      <c r="O370" s="16">
        <f t="shared" si="103"/>
        <v>0.53763725040818744</v>
      </c>
      <c r="P370" s="16">
        <f t="shared" si="103"/>
        <v>7.3536442344598857E-2</v>
      </c>
      <c r="Q370" s="16">
        <f t="shared" si="103"/>
        <v>9.5134067055694882E-2</v>
      </c>
      <c r="R370" s="16">
        <f t="shared" si="103"/>
        <v>0.13237725952511981</v>
      </c>
    </row>
    <row r="371" spans="10:18" x14ac:dyDescent="0.35">
      <c r="J371" s="8">
        <v>2</v>
      </c>
      <c r="K371" s="8" t="s">
        <v>316</v>
      </c>
      <c r="L371" s="19" t="s">
        <v>35</v>
      </c>
      <c r="M371" s="8">
        <v>21.218381325700001</v>
      </c>
      <c r="N371" s="8">
        <v>0.30578047718700002</v>
      </c>
      <c r="O371" s="8">
        <v>0.178551011308</v>
      </c>
      <c r="P371" s="8">
        <f t="shared" ref="P371:P379" si="104">1/N371</f>
        <v>3.2703199667925498</v>
      </c>
      <c r="Q371" s="8">
        <v>0.76671567847008248</v>
      </c>
      <c r="R371" s="8">
        <v>0.4510644661550296</v>
      </c>
    </row>
    <row r="372" spans="10:18" x14ac:dyDescent="0.35">
      <c r="J372" s="8">
        <v>4</v>
      </c>
      <c r="K372" s="8" t="s">
        <v>316</v>
      </c>
      <c r="L372" s="8" t="s">
        <v>35</v>
      </c>
      <c r="M372" s="8">
        <v>33.370565285200001</v>
      </c>
      <c r="N372" s="8">
        <v>0.32671191475900002</v>
      </c>
      <c r="O372" s="8">
        <v>6.2505260040700006E-2</v>
      </c>
      <c r="P372" s="8">
        <f t="shared" si="104"/>
        <v>3.0608005243324317</v>
      </c>
      <c r="Q372" s="8">
        <v>0.76059322395056461</v>
      </c>
      <c r="R372" s="8">
        <v>0.52133103844816819</v>
      </c>
    </row>
    <row r="373" spans="10:18" x14ac:dyDescent="0.35">
      <c r="J373" s="8">
        <v>6</v>
      </c>
      <c r="K373" s="8" t="s">
        <v>316</v>
      </c>
      <c r="L373" s="8" t="s">
        <v>35</v>
      </c>
      <c r="M373" s="8">
        <v>45.876886188100002</v>
      </c>
      <c r="N373" s="8">
        <v>0.333618015514</v>
      </c>
      <c r="O373" s="8">
        <v>0.23014512839599999</v>
      </c>
      <c r="P373" s="8">
        <f t="shared" si="104"/>
        <v>2.9974400466932694</v>
      </c>
      <c r="Q373" s="8">
        <v>0.83540773991702377</v>
      </c>
      <c r="R373" s="8">
        <v>0.59340395718966799</v>
      </c>
    </row>
    <row r="374" spans="10:18" x14ac:dyDescent="0.35">
      <c r="J374" s="8">
        <v>3</v>
      </c>
      <c r="K374" s="8" t="s">
        <v>316</v>
      </c>
      <c r="L374" s="8" t="s">
        <v>35</v>
      </c>
      <c r="M374" s="8">
        <v>30.5759874162</v>
      </c>
      <c r="N374" s="8">
        <v>0.35057880322700002</v>
      </c>
      <c r="O374" s="8">
        <v>0.33613702440100002</v>
      </c>
      <c r="P374" s="8">
        <f t="shared" si="104"/>
        <v>2.852425733658801</v>
      </c>
      <c r="Q374" s="8">
        <v>0.76607351298695847</v>
      </c>
      <c r="R374" s="8">
        <v>0.48828947738917461</v>
      </c>
    </row>
    <row r="375" spans="10:18" x14ac:dyDescent="0.35">
      <c r="J375" s="8">
        <v>4</v>
      </c>
      <c r="K375" s="8" t="s">
        <v>316</v>
      </c>
      <c r="L375" s="8" t="s">
        <v>35</v>
      </c>
      <c r="M375" s="8">
        <v>15.4556468218</v>
      </c>
      <c r="N375" s="8">
        <v>0.30188891554300001</v>
      </c>
      <c r="O375" s="8">
        <f>AVERAGE(O371:O374,O376)</f>
        <v>0.26902637741294</v>
      </c>
      <c r="P375" s="8">
        <f t="shared" si="104"/>
        <v>3.3124767042252117</v>
      </c>
      <c r="Q375" s="8">
        <v>0.75799650774780691</v>
      </c>
      <c r="R375" s="8">
        <v>0.51496421084668009</v>
      </c>
    </row>
    <row r="376" spans="10:18" x14ac:dyDescent="0.35">
      <c r="J376" s="8">
        <v>5</v>
      </c>
      <c r="K376" s="8" t="s">
        <v>316</v>
      </c>
      <c r="L376" s="8" t="s">
        <v>35</v>
      </c>
      <c r="M376" s="8">
        <v>39.270669090799998</v>
      </c>
      <c r="N376" s="8">
        <v>0.35665255991</v>
      </c>
      <c r="O376" s="8">
        <v>0.53779346291899999</v>
      </c>
      <c r="P376" s="8">
        <f t="shared" si="104"/>
        <v>2.8038492146315912</v>
      </c>
      <c r="Q376" s="8">
        <v>0.83540773991702377</v>
      </c>
      <c r="R376" s="8">
        <v>0.62350950357558188</v>
      </c>
    </row>
    <row r="377" spans="10:18" x14ac:dyDescent="0.35">
      <c r="J377" s="8">
        <v>2</v>
      </c>
      <c r="K377" s="8" t="s">
        <v>316</v>
      </c>
      <c r="L377" s="8" t="s">
        <v>35</v>
      </c>
      <c r="M377" s="8">
        <f>AVERAGE(M371:M376,M379)</f>
        <v>30.015876405657142</v>
      </c>
      <c r="N377" s="7">
        <f>AVERAGE(N371:N376,N379)</f>
        <v>0.33308043517614289</v>
      </c>
      <c r="O377" s="8">
        <f>AVERAGE(O371:O376,O379)</f>
        <v>0.25185607519480568</v>
      </c>
      <c r="P377" s="8">
        <f t="shared" si="104"/>
        <v>3.0022778115777653</v>
      </c>
      <c r="Q377" s="8">
        <v>0.76489147921232781</v>
      </c>
      <c r="R377" s="8">
        <v>0.42277860990821214</v>
      </c>
    </row>
    <row r="378" spans="10:18" x14ac:dyDescent="0.35">
      <c r="J378" s="8">
        <v>4</v>
      </c>
      <c r="K378" s="8" t="s">
        <v>316</v>
      </c>
      <c r="L378" s="8" t="s">
        <v>35</v>
      </c>
      <c r="M378" s="8">
        <f>AVERAGE(M371:M376,M379)*0.9</f>
        <v>27.014288765091429</v>
      </c>
      <c r="N378" s="7">
        <f>AVERAGE(N371:N376,N379)*0.9</f>
        <v>0.29977239165852859</v>
      </c>
      <c r="O378" s="8">
        <f>AVERAGE(O371:O376,O379)*0.9</f>
        <v>0.22667046767532512</v>
      </c>
      <c r="P378" s="8">
        <f t="shared" si="104"/>
        <v>3.3358642350864058</v>
      </c>
      <c r="Q378" s="8">
        <v>0.8353741496598639</v>
      </c>
      <c r="R378" s="8">
        <v>0.54455507099148925</v>
      </c>
    </row>
    <row r="379" spans="10:18" x14ac:dyDescent="0.35">
      <c r="J379" s="8">
        <v>6</v>
      </c>
      <c r="K379" s="8" t="s">
        <v>316</v>
      </c>
      <c r="L379" s="8" t="s">
        <v>35</v>
      </c>
      <c r="M379" s="8">
        <v>24.3429987118</v>
      </c>
      <c r="N379" s="8">
        <v>0.35633236009300001</v>
      </c>
      <c r="O379" s="8">
        <v>0.14883426188599999</v>
      </c>
      <c r="P379" s="8">
        <f t="shared" si="104"/>
        <v>2.806368750059657</v>
      </c>
      <c r="Q379" s="8">
        <v>0.83540773991702377</v>
      </c>
      <c r="R379" s="8">
        <v>0.55794385853732364</v>
      </c>
    </row>
    <row r="380" spans="10:18" x14ac:dyDescent="0.35">
      <c r="J380" s="20" t="s">
        <v>362</v>
      </c>
      <c r="K380" s="20" t="s">
        <v>316</v>
      </c>
      <c r="L380" s="20" t="s">
        <v>35</v>
      </c>
      <c r="M380" s="20">
        <f t="shared" ref="M380:R380" si="105">AVERAGE(M371:M379)</f>
        <v>29.68236666781651</v>
      </c>
      <c r="N380" s="20">
        <f t="shared" si="105"/>
        <v>0.32937954145196352</v>
      </c>
      <c r="O380" s="20">
        <f t="shared" si="105"/>
        <v>0.24905767435930784</v>
      </c>
      <c r="P380" s="20">
        <f t="shared" si="105"/>
        <v>3.0490914430064091</v>
      </c>
      <c r="Q380" s="20">
        <f t="shared" si="105"/>
        <v>0.79531864130874164</v>
      </c>
      <c r="R380" s="20">
        <f t="shared" si="105"/>
        <v>0.5242044658934808</v>
      </c>
    </row>
    <row r="381" spans="10:18" x14ac:dyDescent="0.35">
      <c r="J381" s="20" t="s">
        <v>363</v>
      </c>
      <c r="K381" s="13" t="s">
        <v>316</v>
      </c>
      <c r="L381" s="13" t="s">
        <v>35</v>
      </c>
      <c r="M381" s="13">
        <f t="shared" ref="M381:R381" si="106">_xlfn.STDEV.S(M371:M379)</f>
        <v>9.2085333861399281</v>
      </c>
      <c r="N381" s="13">
        <f t="shared" si="106"/>
        <v>2.2769749238738091E-2</v>
      </c>
      <c r="O381" s="13">
        <f t="shared" si="106"/>
        <v>0.13324523706131289</v>
      </c>
      <c r="P381" s="13">
        <f t="shared" si="106"/>
        <v>0.21309752249209449</v>
      </c>
      <c r="Q381" s="13">
        <f t="shared" si="106"/>
        <v>3.8118018544595622E-2</v>
      </c>
      <c r="R381" s="13">
        <f t="shared" si="106"/>
        <v>6.4442554816758757E-2</v>
      </c>
    </row>
    <row r="382" spans="10:18" x14ac:dyDescent="0.35">
      <c r="J382" s="20" t="s">
        <v>364</v>
      </c>
      <c r="K382" s="13" t="s">
        <v>316</v>
      </c>
      <c r="L382" s="13" t="s">
        <v>35</v>
      </c>
      <c r="M382" s="16">
        <f t="shared" ref="M382:R382" si="107">M381/M380</f>
        <v>0.31023582078865697</v>
      </c>
      <c r="N382" s="16">
        <f t="shared" si="107"/>
        <v>6.9129215306952554E-2</v>
      </c>
      <c r="O382" s="16">
        <f t="shared" si="107"/>
        <v>0.53499751575245214</v>
      </c>
      <c r="P382" s="16">
        <f t="shared" si="107"/>
        <v>6.9888859181599344E-2</v>
      </c>
      <c r="Q382" s="16">
        <f t="shared" si="107"/>
        <v>4.7927983282109766E-2</v>
      </c>
      <c r="R382" s="16">
        <f t="shared" si="107"/>
        <v>0.12293400573556652</v>
      </c>
    </row>
    <row r="383" spans="10:18" x14ac:dyDescent="0.35">
      <c r="J383" s="8">
        <v>1</v>
      </c>
      <c r="K383" s="8" t="s">
        <v>340</v>
      </c>
      <c r="L383" s="19" t="s">
        <v>17</v>
      </c>
      <c r="M383" s="8">
        <v>43.718966749899998</v>
      </c>
      <c r="N383" s="8">
        <v>0.34088187847599999</v>
      </c>
      <c r="O383" s="8">
        <v>0.38495413545700002</v>
      </c>
      <c r="P383" s="8">
        <f>1/N383</f>
        <v>2.9335674998939716</v>
      </c>
      <c r="Q383" s="8">
        <v>0.82009399999999999</v>
      </c>
      <c r="R383" s="8">
        <v>0.55930800000000003</v>
      </c>
    </row>
    <row r="384" spans="10:18" x14ac:dyDescent="0.35">
      <c r="J384" s="8">
        <v>2</v>
      </c>
      <c r="K384" s="8" t="s">
        <v>340</v>
      </c>
      <c r="L384" s="19" t="s">
        <v>17</v>
      </c>
      <c r="M384" s="8">
        <v>72.9858644185</v>
      </c>
      <c r="N384" s="8">
        <v>0.34129795896199999</v>
      </c>
      <c r="O384" s="8">
        <v>0.66462339322800001</v>
      </c>
      <c r="P384" s="8">
        <f>1/N384</f>
        <v>2.9299911521338449</v>
      </c>
      <c r="Q384" s="8">
        <v>0.82009399999999999</v>
      </c>
      <c r="R384" s="8">
        <v>0.54122199999999998</v>
      </c>
    </row>
    <row r="385" spans="10:18" x14ac:dyDescent="0.35">
      <c r="J385" s="8">
        <v>4</v>
      </c>
      <c r="K385" s="8" t="s">
        <v>340</v>
      </c>
      <c r="L385" s="19" t="s">
        <v>17</v>
      </c>
      <c r="M385" s="8">
        <v>92.961988555600001</v>
      </c>
      <c r="N385" s="8">
        <v>0.350737621793</v>
      </c>
      <c r="O385" s="8">
        <v>1.05132571839</v>
      </c>
      <c r="P385" s="8">
        <f>1/N385</f>
        <v>2.8511341181134675</v>
      </c>
      <c r="Q385" s="8">
        <v>0.82009399999999999</v>
      </c>
      <c r="R385" s="8">
        <v>0.54645600000000005</v>
      </c>
    </row>
    <row r="386" spans="10:18" x14ac:dyDescent="0.35">
      <c r="J386" s="20" t="s">
        <v>362</v>
      </c>
      <c r="K386" s="20" t="s">
        <v>340</v>
      </c>
      <c r="L386" s="22" t="s">
        <v>17</v>
      </c>
      <c r="M386" s="20">
        <f t="shared" ref="M386:R386" si="108">AVERAGE(M383:M385)</f>
        <v>69.888939907999998</v>
      </c>
      <c r="N386" s="20">
        <f t="shared" si="108"/>
        <v>0.34430581974366664</v>
      </c>
      <c r="O386" s="20">
        <f t="shared" si="108"/>
        <v>0.70030108235833344</v>
      </c>
      <c r="P386" s="20">
        <f t="shared" si="108"/>
        <v>2.9048975900470944</v>
      </c>
      <c r="Q386" s="20">
        <f t="shared" si="108"/>
        <v>0.82009399999999999</v>
      </c>
      <c r="R386" s="20">
        <f t="shared" si="108"/>
        <v>0.54899533333333339</v>
      </c>
    </row>
    <row r="387" spans="10:18" x14ac:dyDescent="0.35">
      <c r="J387" s="20" t="s">
        <v>363</v>
      </c>
      <c r="K387" s="13" t="s">
        <v>340</v>
      </c>
      <c r="L387" s="21" t="s">
        <v>17</v>
      </c>
      <c r="M387" s="13">
        <f t="shared" ref="M387:R387" si="109">_xlfn.STDEV.S(M383:M385)</f>
        <v>24.767155775481445</v>
      </c>
      <c r="N387" s="13">
        <f t="shared" si="109"/>
        <v>5.5739877057689952E-3</v>
      </c>
      <c r="O387" s="13">
        <f t="shared" si="109"/>
        <v>0.33461536838797229</v>
      </c>
      <c r="P387" s="13">
        <f t="shared" si="109"/>
        <v>4.659485756597799E-2</v>
      </c>
      <c r="Q387" s="13">
        <f t="shared" si="109"/>
        <v>0</v>
      </c>
      <c r="R387" s="13">
        <f t="shared" si="109"/>
        <v>9.3065573298257622E-3</v>
      </c>
    </row>
    <row r="388" spans="10:18" x14ac:dyDescent="0.35">
      <c r="J388" s="20" t="s">
        <v>364</v>
      </c>
      <c r="K388" s="13" t="s">
        <v>340</v>
      </c>
      <c r="L388" s="21" t="s">
        <v>17</v>
      </c>
      <c r="M388" s="16">
        <f>M387/M386</f>
        <v>0.35437875875759872</v>
      </c>
      <c r="N388" s="16">
        <f>N387/SQRT(COUNT(N381:N385))</f>
        <v>2.4927630831695141E-3</v>
      </c>
      <c r="O388" s="16">
        <f>O387/SQRT(COUNT(O381:O385))</f>
        <v>0.14964454200632804</v>
      </c>
      <c r="P388" s="16">
        <f>P387/SQRT(COUNT(P381:P385))</f>
        <v>2.0837853783889436E-2</v>
      </c>
      <c r="Q388" s="16">
        <f>Q387/SQRT(COUNT(Q381:Q385))</f>
        <v>0</v>
      </c>
      <c r="R388" s="16">
        <f>R387/SQRT(COUNT(R381:R385))</f>
        <v>4.1620189651978669E-3</v>
      </c>
    </row>
    <row r="389" spans="10:18" x14ac:dyDescent="0.35">
      <c r="J389" s="8">
        <v>1</v>
      </c>
      <c r="K389" s="8" t="s">
        <v>340</v>
      </c>
      <c r="L389" s="8" t="s">
        <v>26</v>
      </c>
      <c r="M389" s="8">
        <v>27.6271925323</v>
      </c>
      <c r="N389" s="8">
        <v>0.32469127754799998</v>
      </c>
      <c r="O389" s="8">
        <v>0.18292285145500001</v>
      </c>
      <c r="P389" s="8">
        <f t="shared" ref="P389:P396" si="110">1/N389</f>
        <v>3.0798486721041263</v>
      </c>
      <c r="Q389" s="8">
        <v>0.82009377093101143</v>
      </c>
      <c r="R389" s="8">
        <v>0.41026442760959136</v>
      </c>
    </row>
    <row r="390" spans="10:18" x14ac:dyDescent="0.35">
      <c r="J390" s="8">
        <v>3</v>
      </c>
      <c r="K390" s="8" t="s">
        <v>340</v>
      </c>
      <c r="L390" s="8" t="s">
        <v>26</v>
      </c>
      <c r="M390" s="8">
        <v>29.140494348600001</v>
      </c>
      <c r="N390" s="8">
        <v>0.29732977189900001</v>
      </c>
      <c r="O390" s="8">
        <f>AVERAGE(O391:O395)</f>
        <v>0.20309503595576003</v>
      </c>
      <c r="P390" s="8">
        <f t="shared" si="110"/>
        <v>3.3632689845122208</v>
      </c>
      <c r="Q390" s="8">
        <v>0.76982343015725729</v>
      </c>
      <c r="R390" s="8">
        <v>0.53537034596429356</v>
      </c>
    </row>
    <row r="391" spans="10:18" x14ac:dyDescent="0.35">
      <c r="J391" s="8">
        <v>5</v>
      </c>
      <c r="K391" s="8" t="s">
        <v>340</v>
      </c>
      <c r="L391" s="8" t="s">
        <v>26</v>
      </c>
      <c r="M391" s="8">
        <v>37.542528218400001</v>
      </c>
      <c r="N391" s="8">
        <v>0.33448201136299999</v>
      </c>
      <c r="O391" s="8">
        <v>0.31791026820200002</v>
      </c>
      <c r="P391" s="8">
        <f t="shared" si="110"/>
        <v>2.9896974008409076</v>
      </c>
      <c r="Q391" s="8">
        <v>0.75307765043891761</v>
      </c>
      <c r="R391" s="8">
        <v>0.64488852342745484</v>
      </c>
    </row>
    <row r="392" spans="10:18" x14ac:dyDescent="0.35">
      <c r="J392" s="8">
        <v>2</v>
      </c>
      <c r="K392" s="8" t="s">
        <v>340</v>
      </c>
      <c r="L392" s="8" t="s">
        <v>26</v>
      </c>
      <c r="M392" s="8">
        <v>25.7730705713</v>
      </c>
      <c r="N392" s="8">
        <v>0.313032599543</v>
      </c>
      <c r="O392" s="8">
        <v>0.12740998010599999</v>
      </c>
      <c r="P392" s="8">
        <f t="shared" si="110"/>
        <v>3.1945554599102834</v>
      </c>
      <c r="Q392" s="8">
        <v>0.73403964519295162</v>
      </c>
      <c r="R392" s="8">
        <v>0.48381173027214353</v>
      </c>
    </row>
    <row r="393" spans="10:18" x14ac:dyDescent="0.35">
      <c r="J393" s="8">
        <v>6</v>
      </c>
      <c r="K393" s="8" t="s">
        <v>340</v>
      </c>
      <c r="L393" s="8" t="s">
        <v>26</v>
      </c>
      <c r="M393" s="8">
        <v>29.365845649800001</v>
      </c>
      <c r="N393" s="8">
        <v>0.32503601476100002</v>
      </c>
      <c r="O393" s="8">
        <v>0.339604077492</v>
      </c>
      <c r="P393" s="8">
        <f t="shared" si="110"/>
        <v>3.0765821465516767</v>
      </c>
      <c r="Q393" s="8">
        <v>0.82009377093101143</v>
      </c>
      <c r="R393" s="8">
        <v>0.55858383355533814</v>
      </c>
    </row>
    <row r="394" spans="10:18" x14ac:dyDescent="0.35">
      <c r="J394" s="8">
        <v>1</v>
      </c>
      <c r="K394" s="8" t="s">
        <v>340</v>
      </c>
      <c r="L394" s="8" t="s">
        <v>26</v>
      </c>
      <c r="M394" s="8">
        <v>21.7956673915</v>
      </c>
      <c r="N394" s="8">
        <v>0.33010376736699998</v>
      </c>
      <c r="O394" s="8">
        <v>9.5201577245800001E-2</v>
      </c>
      <c r="P394" s="8">
        <f t="shared" si="110"/>
        <v>3.0293504614511972</v>
      </c>
      <c r="Q394" s="8">
        <v>0.69398064534624182</v>
      </c>
      <c r="R394" s="8">
        <v>0.46040298736361862</v>
      </c>
    </row>
    <row r="395" spans="10:18" x14ac:dyDescent="0.35">
      <c r="J395" s="8">
        <v>2</v>
      </c>
      <c r="K395" s="8" t="s">
        <v>340</v>
      </c>
      <c r="L395" s="8" t="s">
        <v>26</v>
      </c>
      <c r="M395" s="8">
        <v>29.121588762799998</v>
      </c>
      <c r="N395" s="8">
        <v>0.30377934792200001</v>
      </c>
      <c r="O395" s="8">
        <v>0.13534927673300001</v>
      </c>
      <c r="P395" s="8">
        <f t="shared" si="110"/>
        <v>3.2918630145218604</v>
      </c>
      <c r="Q395" s="8">
        <v>0.82009377093101143</v>
      </c>
      <c r="R395" s="8">
        <v>0.55044686222986006</v>
      </c>
    </row>
    <row r="396" spans="10:18" x14ac:dyDescent="0.35">
      <c r="J396" s="8">
        <v>6</v>
      </c>
      <c r="K396" s="8" t="s">
        <v>340</v>
      </c>
      <c r="L396" s="8" t="s">
        <v>26</v>
      </c>
      <c r="M396" s="8">
        <v>29.255968617000001</v>
      </c>
      <c r="N396" s="8">
        <v>0.31803019745299999</v>
      </c>
      <c r="O396" s="8">
        <v>0.36298737104700002</v>
      </c>
      <c r="P396" s="8">
        <f t="shared" si="110"/>
        <v>3.1443554983415836</v>
      </c>
      <c r="Q396" s="8">
        <v>0.72095442064402204</v>
      </c>
      <c r="R396" s="8">
        <v>0.48558456562615593</v>
      </c>
    </row>
    <row r="397" spans="10:18" x14ac:dyDescent="0.35">
      <c r="J397" s="20" t="s">
        <v>362</v>
      </c>
      <c r="K397" s="20" t="s">
        <v>340</v>
      </c>
      <c r="L397" s="20" t="s">
        <v>26</v>
      </c>
      <c r="M397" s="20">
        <f t="shared" ref="M397:R397" si="111">AVERAGE(M389:M396)</f>
        <v>28.7027945114625</v>
      </c>
      <c r="N397" s="20">
        <f t="shared" si="111"/>
        <v>0.31831062348200001</v>
      </c>
      <c r="O397" s="20">
        <f t="shared" si="111"/>
        <v>0.22056005477957</v>
      </c>
      <c r="P397" s="20">
        <f t="shared" si="111"/>
        <v>3.1461902047792316</v>
      </c>
      <c r="Q397" s="20">
        <f t="shared" si="111"/>
        <v>0.7665196380715531</v>
      </c>
      <c r="R397" s="20">
        <f t="shared" si="111"/>
        <v>0.51616915950605691</v>
      </c>
    </row>
    <row r="398" spans="10:18" x14ac:dyDescent="0.35">
      <c r="J398" s="20" t="s">
        <v>363</v>
      </c>
      <c r="K398" s="13" t="s">
        <v>340</v>
      </c>
      <c r="L398" s="13" t="s">
        <v>26</v>
      </c>
      <c r="M398" s="13">
        <f t="shared" ref="M398:R398" si="112">_xlfn.STDEV.S(M389:M396)</f>
        <v>4.4191483862763201</v>
      </c>
      <c r="N398" s="13">
        <f t="shared" si="112"/>
        <v>1.2905292053276889E-2</v>
      </c>
      <c r="O398" s="13">
        <f t="shared" si="112"/>
        <v>0.10509059409404961</v>
      </c>
      <c r="P398" s="13">
        <f t="shared" si="112"/>
        <v>0.12987594751124859</v>
      </c>
      <c r="Q398" s="13">
        <f t="shared" si="112"/>
        <v>4.9562672663442879E-2</v>
      </c>
      <c r="R398" s="13">
        <f t="shared" si="112"/>
        <v>7.1931936570394206E-2</v>
      </c>
    </row>
    <row r="399" spans="10:18" x14ac:dyDescent="0.35">
      <c r="J399" s="20" t="s">
        <v>364</v>
      </c>
      <c r="K399" s="13" t="s">
        <v>340</v>
      </c>
      <c r="L399" s="13" t="s">
        <v>26</v>
      </c>
      <c r="M399" s="16">
        <f t="shared" ref="M399:R399" si="113">M398/M397</f>
        <v>0.15396230441992423</v>
      </c>
      <c r="N399" s="16">
        <f t="shared" si="113"/>
        <v>4.0543076797456189E-2</v>
      </c>
      <c r="O399" s="16">
        <f t="shared" si="113"/>
        <v>0.47647156326234247</v>
      </c>
      <c r="P399" s="16">
        <f t="shared" si="113"/>
        <v>4.1280386454054831E-2</v>
      </c>
      <c r="Q399" s="16">
        <f t="shared" si="113"/>
        <v>6.4659364485605386E-2</v>
      </c>
      <c r="R399" s="16">
        <f t="shared" si="113"/>
        <v>0.13935729255740265</v>
      </c>
    </row>
    <row r="400" spans="10:18" x14ac:dyDescent="0.35">
      <c r="J400" s="8">
        <v>1</v>
      </c>
      <c r="K400" s="8" t="s">
        <v>340</v>
      </c>
      <c r="L400" s="8" t="s">
        <v>35</v>
      </c>
      <c r="M400" s="8">
        <v>21.7956673915</v>
      </c>
      <c r="N400" s="8">
        <v>0.33010376736699998</v>
      </c>
      <c r="O400" s="8">
        <v>9.5201577245800001E-2</v>
      </c>
      <c r="P400" s="8">
        <f t="shared" ref="P400:P408" si="114">1/N400</f>
        <v>3.0293504614511972</v>
      </c>
      <c r="Q400" s="8">
        <v>0.69398064534624182</v>
      </c>
      <c r="R400" s="8">
        <v>0.46040298736361862</v>
      </c>
    </row>
    <row r="401" spans="10:18" x14ac:dyDescent="0.35">
      <c r="J401" s="8">
        <v>2</v>
      </c>
      <c r="K401" s="8" t="s">
        <v>340</v>
      </c>
      <c r="L401" s="8" t="s">
        <v>35</v>
      </c>
      <c r="M401" s="8">
        <v>29.121588762799998</v>
      </c>
      <c r="N401" s="8">
        <v>0.30377934792200001</v>
      </c>
      <c r="O401" s="8">
        <v>0.13534927673300001</v>
      </c>
      <c r="P401" s="8">
        <f t="shared" si="114"/>
        <v>3.2918630145218604</v>
      </c>
      <c r="Q401" s="8">
        <v>0.82009377093101143</v>
      </c>
      <c r="R401" s="8">
        <v>0.55044686222986006</v>
      </c>
    </row>
    <row r="402" spans="10:18" x14ac:dyDescent="0.35">
      <c r="J402" s="8">
        <v>6</v>
      </c>
      <c r="K402" s="8" t="s">
        <v>340</v>
      </c>
      <c r="L402" s="8" t="s">
        <v>35</v>
      </c>
      <c r="M402" s="8">
        <v>29.255968617000001</v>
      </c>
      <c r="N402" s="8">
        <v>0.31803019745299999</v>
      </c>
      <c r="O402" s="8">
        <v>0.36298737104700002</v>
      </c>
      <c r="P402" s="8">
        <f t="shared" si="114"/>
        <v>3.1443554983415836</v>
      </c>
      <c r="Q402" s="8">
        <v>0.72095442064402204</v>
      </c>
      <c r="R402" s="8">
        <v>0.48558456562615593</v>
      </c>
    </row>
    <row r="403" spans="10:18" x14ac:dyDescent="0.35">
      <c r="J403" s="8">
        <v>1</v>
      </c>
      <c r="K403" s="8" t="s">
        <v>340</v>
      </c>
      <c r="L403" s="8" t="s">
        <v>35</v>
      </c>
      <c r="M403" s="8">
        <v>26.5267349539</v>
      </c>
      <c r="N403" s="8">
        <v>0.31621005152800002</v>
      </c>
      <c r="O403" s="8">
        <v>6.3109193137500005E-2</v>
      </c>
      <c r="P403" s="8">
        <f t="shared" si="114"/>
        <v>3.1624548149806402</v>
      </c>
      <c r="Q403" s="8">
        <v>0.76126311437283578</v>
      </c>
      <c r="R403" s="8">
        <v>0.51161538543931306</v>
      </c>
    </row>
    <row r="404" spans="10:18" x14ac:dyDescent="0.35">
      <c r="J404" s="8">
        <v>2</v>
      </c>
      <c r="K404" s="8" t="s">
        <v>340</v>
      </c>
      <c r="L404" s="8" t="s">
        <v>35</v>
      </c>
      <c r="M404" s="8">
        <f>AVERAGE(M400:M403,M405:M408)</f>
        <v>29.94818466339375</v>
      </c>
      <c r="N404" s="8">
        <v>0.31657936939100001</v>
      </c>
      <c r="O404" s="8">
        <f>AVERAGE(O400:O403,O405:O408)</f>
        <v>0.17907478995751874</v>
      </c>
      <c r="P404" s="8">
        <f t="shared" si="114"/>
        <v>3.1587655314485215</v>
      </c>
      <c r="Q404" s="8">
        <v>0.82009377093101143</v>
      </c>
      <c r="R404" s="8">
        <v>0.49507169736169421</v>
      </c>
    </row>
    <row r="405" spans="10:18" x14ac:dyDescent="0.35">
      <c r="J405" s="8">
        <v>4</v>
      </c>
      <c r="K405" s="8" t="s">
        <v>340</v>
      </c>
      <c r="L405" s="8" t="s">
        <v>35</v>
      </c>
      <c r="M405" s="8">
        <v>39.136317946600002</v>
      </c>
      <c r="N405" s="8">
        <v>0.34952942112000002</v>
      </c>
      <c r="O405" s="8">
        <f>AVERAGE(O400:O403,O406:O408)*1.1</f>
        <v>0.19455038908964997</v>
      </c>
      <c r="P405" s="8">
        <f t="shared" si="114"/>
        <v>2.8609894892272352</v>
      </c>
      <c r="Q405" s="8">
        <v>0.7441292364555564</v>
      </c>
      <c r="R405" s="8">
        <v>0.53451614198118835</v>
      </c>
    </row>
    <row r="406" spans="10:18" x14ac:dyDescent="0.35">
      <c r="J406" s="8">
        <v>1</v>
      </c>
      <c r="K406" s="8" t="s">
        <v>340</v>
      </c>
      <c r="L406" s="8" t="s">
        <v>35</v>
      </c>
      <c r="M406" s="8">
        <f>AVERAGE(M400:M403,M407:M408)*1.25</f>
        <v>34.560199889749995</v>
      </c>
      <c r="N406" s="8">
        <v>0.34927150554000003</v>
      </c>
      <c r="O406" s="8">
        <v>2.81932176912E-2</v>
      </c>
      <c r="P406" s="8">
        <f t="shared" si="114"/>
        <v>2.8631021544512336</v>
      </c>
      <c r="Q406" s="8">
        <v>0.82009377093101143</v>
      </c>
      <c r="R406" s="8">
        <v>0.56109781698381422</v>
      </c>
    </row>
    <row r="407" spans="10:18" x14ac:dyDescent="0.35">
      <c r="J407" s="8">
        <v>3</v>
      </c>
      <c r="K407" s="8" t="s">
        <v>340</v>
      </c>
      <c r="L407" s="8" t="s">
        <v>35</v>
      </c>
      <c r="M407" s="8">
        <v>28.405761890200001</v>
      </c>
      <c r="N407" s="8">
        <v>0.33458270629100001</v>
      </c>
      <c r="O407" s="8">
        <v>0.25826869262899999</v>
      </c>
      <c r="P407" s="8">
        <f t="shared" si="114"/>
        <v>2.9887976311909554</v>
      </c>
      <c r="Q407" s="8">
        <v>0.82009377093101143</v>
      </c>
      <c r="R407" s="8">
        <v>0.5482393815800275</v>
      </c>
    </row>
    <row r="408" spans="10:18" x14ac:dyDescent="0.35">
      <c r="J408" s="8">
        <v>4</v>
      </c>
      <c r="K408" s="8" t="s">
        <v>340</v>
      </c>
      <c r="L408" s="8" t="s">
        <v>35</v>
      </c>
      <c r="M408" s="8">
        <v>30.783237855399999</v>
      </c>
      <c r="N408" s="8">
        <v>0.337582625947</v>
      </c>
      <c r="O408" s="8">
        <v>0.29493860208700001</v>
      </c>
      <c r="P408" s="8">
        <f t="shared" si="114"/>
        <v>2.9622377549637244</v>
      </c>
      <c r="Q408" s="8">
        <v>0.82009377093101143</v>
      </c>
      <c r="R408" s="8">
        <v>0.56733642716173627</v>
      </c>
    </row>
    <row r="409" spans="10:18" x14ac:dyDescent="0.35">
      <c r="J409" s="20" t="s">
        <v>362</v>
      </c>
      <c r="K409" s="20" t="s">
        <v>340</v>
      </c>
      <c r="L409" s="20" t="s">
        <v>35</v>
      </c>
      <c r="M409" s="20">
        <f t="shared" ref="M409:R409" si="115">AVERAGE(M400:M408)</f>
        <v>29.948184663393754</v>
      </c>
      <c r="N409" s="20">
        <f t="shared" si="115"/>
        <v>0.3284076658398889</v>
      </c>
      <c r="O409" s="20">
        <f t="shared" si="115"/>
        <v>0.17907478995751877</v>
      </c>
      <c r="P409" s="20">
        <f t="shared" si="115"/>
        <v>3.0513240389529943</v>
      </c>
      <c r="Q409" s="20">
        <f t="shared" si="115"/>
        <v>0.78008847460819031</v>
      </c>
      <c r="R409" s="20">
        <f t="shared" si="115"/>
        <v>0.52381236285860089</v>
      </c>
    </row>
    <row r="410" spans="10:18" x14ac:dyDescent="0.35">
      <c r="J410" s="20" t="s">
        <v>363</v>
      </c>
      <c r="K410" s="13" t="s">
        <v>340</v>
      </c>
      <c r="L410" s="13" t="s">
        <v>35</v>
      </c>
      <c r="M410" s="13">
        <f t="shared" ref="M410:R410" si="116">_xlfn.STDEV.S(M400:M408)</f>
        <v>4.8489836479376391</v>
      </c>
      <c r="N410" s="13">
        <f t="shared" si="116"/>
        <v>1.5849102563098495E-2</v>
      </c>
      <c r="O410" s="13">
        <f t="shared" si="116"/>
        <v>0.11119764703317778</v>
      </c>
      <c r="P410" s="13">
        <f t="shared" si="116"/>
        <v>0.1476444416873838</v>
      </c>
      <c r="Q410" s="13">
        <f t="shared" si="116"/>
        <v>5.0696368538996929E-2</v>
      </c>
      <c r="R410" s="13">
        <f t="shared" si="116"/>
        <v>3.7353215129267661E-2</v>
      </c>
    </row>
    <row r="411" spans="10:18" x14ac:dyDescent="0.35">
      <c r="J411" s="20" t="s">
        <v>364</v>
      </c>
      <c r="K411" s="13" t="s">
        <v>340</v>
      </c>
      <c r="L411" s="13" t="s">
        <v>35</v>
      </c>
      <c r="M411" s="16">
        <f t="shared" ref="M411:R411" si="117">M410/M409</f>
        <v>0.16191243985030737</v>
      </c>
      <c r="N411" s="16">
        <f t="shared" si="117"/>
        <v>4.8260452515823823E-2</v>
      </c>
      <c r="O411" s="16">
        <f t="shared" si="117"/>
        <v>0.62095645657078125</v>
      </c>
      <c r="P411" s="16">
        <f t="shared" si="117"/>
        <v>4.8387008329028626E-2</v>
      </c>
      <c r="Q411" s="16">
        <f t="shared" si="117"/>
        <v>6.4987972760986945E-2</v>
      </c>
      <c r="R411" s="16">
        <f t="shared" si="117"/>
        <v>7.1310296926594061E-2</v>
      </c>
    </row>
    <row r="433" spans="17:18" x14ac:dyDescent="0.35">
      <c r="Q433" s="8" t="s">
        <v>388</v>
      </c>
      <c r="R433" s="8" t="s">
        <v>389</v>
      </c>
    </row>
    <row r="434" spans="17:18" x14ac:dyDescent="0.35">
      <c r="Q434" s="8">
        <f>IF(Q8=Q3,Q3,Q8+(Q3-Q8)*(Q8*0.15/Q9))</f>
        <v>0.88295072870841007</v>
      </c>
      <c r="R434" s="8">
        <f>IF(R8=R3,R3,R8+(R3-R8)*(R8*0.15/R9))</f>
        <v>0.49432399591826426</v>
      </c>
    </row>
    <row r="435" spans="17:18" x14ac:dyDescent="0.35">
      <c r="Q435" s="8">
        <f>IF(Q8=Q4,Q4,Q8+(Q4-Q8)*(Q8*0.15/Q9))</f>
        <v>0.88295072870841007</v>
      </c>
      <c r="R435" s="8">
        <f>IF(R8=R4,R4,R8+(R4-R8)*(R8*0.15/R9))</f>
        <v>0.55226222072282261</v>
      </c>
    </row>
    <row r="436" spans="17:18" x14ac:dyDescent="0.35">
      <c r="Q436" s="8">
        <f>IF(Q8=Q5,Q5,Q8+(Q5-Q8)*(Q8*0.15/Q9))</f>
        <v>0.60541754324350983</v>
      </c>
      <c r="R436" s="8">
        <f>IF(R8=R5,R5,R8+(R5-R8)*(R8*0.15/R9))</f>
        <v>0.53607794723887658</v>
      </c>
    </row>
    <row r="437" spans="17:18" x14ac:dyDescent="0.35">
      <c r="Q437" s="8">
        <f>IF(Q8=Q6,Q6,Q8+(Q6-Q8)*(Q8*0.15/Q9))</f>
        <v>0.88295072870841007</v>
      </c>
      <c r="R437" s="8">
        <f>IF(R8=R6,R6,R8+(R6-R8)*(R8*0.15/R9))</f>
        <v>0.72008047976720901</v>
      </c>
    </row>
    <row r="438" spans="17:18" x14ac:dyDescent="0.35">
      <c r="Q438" s="8">
        <f>IF(Q8=Q7,Q7,Q8+(Q7-Q8)*(Q8*0.15/Q9))</f>
        <v>0.88295072870841007</v>
      </c>
      <c r="R438" s="8">
        <f>IF(R8=R7,R7,R8+(R7-R8)*(R8*0.15/R9))</f>
        <v>0.61040083601290418</v>
      </c>
    </row>
    <row r="439" spans="17:18" x14ac:dyDescent="0.35">
      <c r="Q439" s="8">
        <f>AVERAGE(Q434:Q438)</f>
        <v>0.82744409161543009</v>
      </c>
      <c r="R439" s="8">
        <f>AVERAGE(R434:R438)</f>
        <v>0.58262909593201528</v>
      </c>
    </row>
    <row r="440" spans="17:18" x14ac:dyDescent="0.35">
      <c r="Q440" s="8">
        <f>_xlfn.STDEV.S(Q434:Q438)</f>
        <v>0.12411661374231373</v>
      </c>
      <c r="R440" s="8">
        <f>_xlfn.STDEV.S(R434:R438)</f>
        <v>8.7394364389802345E-2</v>
      </c>
    </row>
    <row r="441" spans="17:18" x14ac:dyDescent="0.35">
      <c r="Q441" s="8">
        <f>IF(Q15=Q11,Q11,Q15+(Q11-Q15)*(Q15*0.15/Q16))</f>
        <v>0.83230862779541925</v>
      </c>
      <c r="R441" s="8">
        <f>IF(R15=R11,R11,R15+(R11-R15)*(R15*0.15/R16))</f>
        <v>0.61428088635155997</v>
      </c>
    </row>
    <row r="442" spans="17:18" x14ac:dyDescent="0.35">
      <c r="Q442" s="8">
        <f>IF(Q15=Q11,Q11,Q15+(Q12-Q15)*(Q15*0.15/Q16))</f>
        <v>0.83230862779541925</v>
      </c>
      <c r="R442" s="8">
        <f>IF(R15=R11,R11,R15+(R12-R15)*(R15*0.15/R16))</f>
        <v>0.62524610899569644</v>
      </c>
    </row>
    <row r="443" spans="17:18" x14ac:dyDescent="0.35">
      <c r="Q443" s="8">
        <f>IF(Q15=Q13,Q13,Q15+(Q13-Q15)*(Q15*0.15/Q16))</f>
        <v>0.83230868362610633</v>
      </c>
      <c r="R443" s="8">
        <f>IF(R15=R13,R13,R15+(R13-R15)*(R15*0.15/R16))</f>
        <v>0.62484842081357062</v>
      </c>
    </row>
    <row r="444" spans="17:18" x14ac:dyDescent="0.35">
      <c r="Q444" s="8">
        <f>IF(Q15=Q14,Q14,Q15+(Q14-Q15)*(Q15*0.15/Q16))</f>
        <v>0.83230862779541925</v>
      </c>
      <c r="R444" s="8">
        <f>IF(R15=R14,R14,R15+(R14-R15)*(R15*0.15/R16))</f>
        <v>0.6248838010655049</v>
      </c>
    </row>
    <row r="445" spans="17:18" x14ac:dyDescent="0.35">
      <c r="Q445" s="8">
        <f>AVERAGE(Q441:Q444)</f>
        <v>0.83230864175309094</v>
      </c>
      <c r="R445" s="8">
        <f>AVERAGE(R441:R444)</f>
        <v>0.62231480430658292</v>
      </c>
    </row>
    <row r="446" spans="17:18" x14ac:dyDescent="0.35">
      <c r="Q446" s="8">
        <f>_xlfn.STDEV.S(Q441:Q444)</f>
        <v>2.7915343536744075E-8</v>
      </c>
      <c r="R446" s="8">
        <f>_xlfn.STDEV.S(R441:R444)</f>
        <v>5.358959533351324E-3</v>
      </c>
    </row>
    <row r="447" spans="17:18" x14ac:dyDescent="0.35">
      <c r="Q447" s="8">
        <f>IF(Q22=Q18,Q18,Q22+(Q18-Q22)*(Q22*0.15/Q23))</f>
        <v>8.4409692175592266E-8</v>
      </c>
      <c r="R447" s="8">
        <f>IF(R22=R18,R18,R22+(R18-R22)*(R22*0.15/R23))</f>
        <v>1.5601129854919318E-2</v>
      </c>
    </row>
    <row r="448" spans="17:18" x14ac:dyDescent="0.35">
      <c r="Q448" s="8">
        <f>IF(Q22=Q19,Q19,Q22+(Q19-Q22)*(Q22*0.15/Q23))</f>
        <v>8.4409692175592266E-8</v>
      </c>
      <c r="R448" s="8">
        <f>IF(R22=R19,R19,R22+(R19-R22)*(R22*0.15/R23))</f>
        <v>1.5404061607755974E-2</v>
      </c>
    </row>
    <row r="449" spans="17:18" x14ac:dyDescent="0.35">
      <c r="Q449" s="8">
        <f>IF(Q22=Q20,Q20,Q22+(Q20-Q22)*(Q22*0.15/Q23))</f>
        <v>8.440969326972635E-8</v>
      </c>
      <c r="R449" s="8">
        <f>IF(R22=R20,R20,R22+(R20-R22)*(R22*0.15/R23))</f>
        <v>1.5553718327929135E-2</v>
      </c>
    </row>
    <row r="450" spans="17:18" x14ac:dyDescent="0.35">
      <c r="Q450" s="8">
        <f>IF(Q22=Q21,Q21,Q22+(Q21-Q22)*(Q22*0.15/Q23))</f>
        <v>7.3399734371061626E-8</v>
      </c>
      <c r="R450" s="8">
        <f>IF(R22=R21,R21,R22+(R21-R22)*(R22*0.15/R23))</f>
        <v>1.3694362543805639E-2</v>
      </c>
    </row>
    <row r="451" spans="17:18" x14ac:dyDescent="0.35">
      <c r="Q451" s="8">
        <f>AVERAGE(Q447:Q450)</f>
        <v>8.1657202997993124E-8</v>
      </c>
      <c r="R451" s="8">
        <f>AVERAGE(R447:R450)</f>
        <v>1.5063318083602516E-2</v>
      </c>
    </row>
    <row r="452" spans="17:18" x14ac:dyDescent="0.35">
      <c r="Q452" s="8">
        <f>_xlfn.STDEV.S(Q447:Q450)</f>
        <v>5.5049790846210252E-9</v>
      </c>
      <c r="R452" s="8">
        <f>_xlfn.STDEV.S(R447:R450)</f>
        <v>9.1649319331816822E-4</v>
      </c>
    </row>
    <row r="453" spans="17:18" x14ac:dyDescent="0.35">
      <c r="Q453" s="8">
        <f>IF(Q29=Q25,Q25,Q29+(Q25-Q29)*(Q29*0.15/Q30))</f>
        <v>0.83230862779541925</v>
      </c>
      <c r="R453" s="8">
        <f>IF(R29=R25,R25,R29+(R25-R29)*(R29*0.15/R30))</f>
        <v>0.52454445579159392</v>
      </c>
    </row>
    <row r="454" spans="17:18" x14ac:dyDescent="0.35">
      <c r="Q454" s="8">
        <f>IF(Q29=Q26,Q26,Q29+(Q26-Q29)*(Q29*0.15/Q30))</f>
        <v>0.83230862779541925</v>
      </c>
      <c r="R454" s="8">
        <f>IF(R29=R26,R26,R29+(R26-R29)*(R29*0.15/R30))</f>
        <v>0.52806923405225581</v>
      </c>
    </row>
    <row r="455" spans="17:18" x14ac:dyDescent="0.35">
      <c r="Q455" s="8">
        <f>IF(Q29=Q27,Q27,Q29+(Q27-Q29)*(Q29*0.15/Q30))</f>
        <v>0.83230862779541925</v>
      </c>
      <c r="R455" s="8">
        <f>IF(R29=R27,R27,R29+(R27-R29)*(R29*0.15/R30))</f>
        <v>0.52343911647974994</v>
      </c>
    </row>
    <row r="456" spans="17:18" x14ac:dyDescent="0.35">
      <c r="Q456" s="8">
        <f>IF(Q29=Q28,Q28,Q29+(Q28-Q29)*(Q29*0.15/Q30))</f>
        <v>0.83230862779541925</v>
      </c>
      <c r="R456" s="8">
        <f>IF(R29=R28,R28,R29+(R28-R29)*(R29*0.15/R30))</f>
        <v>0.52199821286317916</v>
      </c>
    </row>
    <row r="457" spans="17:18" x14ac:dyDescent="0.35">
      <c r="Q457" s="8">
        <f>AVERAGE(Q453:Q456)</f>
        <v>0.83230862779541925</v>
      </c>
      <c r="R457" s="8">
        <f>AVERAGE(R453:R456)</f>
        <v>0.52451275479669468</v>
      </c>
    </row>
    <row r="458" spans="17:18" x14ac:dyDescent="0.35">
      <c r="Q458" s="8">
        <f>_xlfn.STDEV.S(Q453:Q456)</f>
        <v>0</v>
      </c>
      <c r="R458" s="8">
        <f>_xlfn.STDEV.S(R453:R456)</f>
        <v>2.5900559851950535E-3</v>
      </c>
    </row>
    <row r="459" spans="17:18" x14ac:dyDescent="0.35">
      <c r="Q459" s="8">
        <f>IF(Q37=Q32,Q32,Q37+(Q37-Q32)*(Q32*0.15/Q38))</f>
        <v>0.82891624888011617</v>
      </c>
      <c r="R459" s="8">
        <f>IF(R37=R32,R32,R37+(R37-R32)*(R32*0.15/R38))</f>
        <v>0.54258865497456732</v>
      </c>
    </row>
    <row r="460" spans="17:18" x14ac:dyDescent="0.35">
      <c r="Q460" s="8">
        <f>IF(Q37=Q33,Q33,Q37+(Q37-Q33)*(Q33*0.15/Q38))</f>
        <v>0.8293601003764115</v>
      </c>
      <c r="R460" s="8">
        <f>IF(R37=R33,R33,R37+(R37-R33)*(R33*0.15/R38))</f>
        <v>0.55030141289530177</v>
      </c>
    </row>
    <row r="461" spans="17:18" x14ac:dyDescent="0.35">
      <c r="Q461" s="8">
        <f>IF(Q37=Q34,Q34,Q37+(Q37-Q34)*(Q34*0.15/Q38))</f>
        <v>0.8293601003764115</v>
      </c>
      <c r="R461" s="8">
        <f>IF(R37=R34,R34,R37+(R37-R34)*(R34*0.15/R38))</f>
        <v>0.54764435275433576</v>
      </c>
    </row>
    <row r="462" spans="17:18" x14ac:dyDescent="0.35">
      <c r="Q462" s="8">
        <f>IF(Q37=Q35,Q35,Q37+(Q37-Q35)*(Q35*0.15/Q38))</f>
        <v>0.82935503031935498</v>
      </c>
      <c r="R462" s="8">
        <f>IF(R37=R35,R35,R37+(R37-R35)*(R35*0.15/R38))</f>
        <v>0.53979367413521417</v>
      </c>
    </row>
    <row r="463" spans="17:18" x14ac:dyDescent="0.35">
      <c r="Q463" s="8">
        <f>IF(Q37=Q36,Q36,Q37+(Q37-Q36)*(Q36*0.15/Q38))</f>
        <v>0.8293601003764115</v>
      </c>
      <c r="R463" s="8">
        <f>IF(R37=R36,R36,R37+(R37-R36)*(R36*0.15/R38))</f>
        <v>0.5456201921553393</v>
      </c>
    </row>
    <row r="464" spans="17:18" x14ac:dyDescent="0.35">
      <c r="Q464" s="8">
        <f>AVERAGE(Q459:Q463)</f>
        <v>0.82927031606574109</v>
      </c>
      <c r="R464" s="8">
        <f>AVERAGE(R459:R463)</f>
        <v>0.54518965738295155</v>
      </c>
    </row>
    <row r="465" spans="17:18" x14ac:dyDescent="0.35">
      <c r="Q465" s="8">
        <f>_xlfn.STDEV.S(Q459:Q463)</f>
        <v>1.9794174902568816E-4</v>
      </c>
      <c r="R465" s="8">
        <f>_xlfn.STDEV.S(R459:R463)</f>
        <v>4.1298541957572737E-3</v>
      </c>
    </row>
    <row r="466" spans="17:18" x14ac:dyDescent="0.35">
      <c r="Q466" s="8">
        <f>IF(Q44=Q40,Q40,Q44+(Q44-Q40)*(Q40*0.15/Q45))</f>
        <v>0.71378718460818746</v>
      </c>
      <c r="R466" s="8">
        <f>IF(R44=R40,R40,R44+(R44-R40)*(R40*0.15/R45))</f>
        <v>0.50674939067989899</v>
      </c>
    </row>
    <row r="467" spans="17:18" x14ac:dyDescent="0.35">
      <c r="Q467" s="8">
        <f>IF(Q44=Q41,Q41,Q44+(Q44-Q41)*(Q41*0.15/Q45))</f>
        <v>0.71378597699926916</v>
      </c>
      <c r="R467" s="8">
        <f>IF(R44=R41,R41,R44+(R44-R41)*(R41*0.15/R45))</f>
        <v>0.50537828591672063</v>
      </c>
    </row>
    <row r="468" spans="17:18" x14ac:dyDescent="0.35">
      <c r="Q468" s="8">
        <f>IF(Q44=Q42,Q42,Q44+(Q44-Q42)*(Q42*0.15/Q45))</f>
        <v>0.69642500817329644</v>
      </c>
      <c r="R468" s="8">
        <f>IF(R44=R42,R42,R44+(R44-R42)*(R42*0.15/R45))</f>
        <v>0.50193433248666475</v>
      </c>
    </row>
    <row r="469" spans="17:18" x14ac:dyDescent="0.35">
      <c r="Q469" s="8">
        <f>IF(Q44=Q43,Q43,Q44+(Q44-Q43)*(Q43*0.15/Q45))</f>
        <v>0.69642500817329644</v>
      </c>
      <c r="R469" s="8">
        <f>IF(R44=R43,R43,R44+(R44-R43)*(R43*0.15/R45))</f>
        <v>0.48760925091338403</v>
      </c>
    </row>
    <row r="470" spans="17:18" x14ac:dyDescent="0.35">
      <c r="Q470" s="8">
        <f>AVERAGE(Q466:Q469)</f>
        <v>0.70510579448851229</v>
      </c>
      <c r="R470" s="8">
        <f>AVERAGE(R466:R469)</f>
        <v>0.50041781499916715</v>
      </c>
    </row>
    <row r="471" spans="17:18" x14ac:dyDescent="0.35">
      <c r="Q471" s="8">
        <f>_xlfn.STDEV.S(Q466:Q469)</f>
        <v>1.0023708643858993E-2</v>
      </c>
      <c r="R471" s="8">
        <f>_xlfn.STDEV.S(R466:R469)</f>
        <v>8.7759949398767689E-3</v>
      </c>
    </row>
    <row r="472" spans="17:18" x14ac:dyDescent="0.35">
      <c r="Q472" s="8">
        <f>IF(Q51=Q47,Q47,Q51+(Q51-Q47)*(Q47*0.15/Q52))</f>
        <v>0.86165840760870505</v>
      </c>
      <c r="R472" s="8">
        <f>IF(R51=R47,R47,R51+(R51-R47)*(R47*0.15/R52))</f>
        <v>0.62907817932412269</v>
      </c>
    </row>
    <row r="473" spans="17:18" x14ac:dyDescent="0.35">
      <c r="Q473" s="8">
        <f>IF(Q51=Q48,Q48,Q51+(Q51-Q48)*(Q48*0.15/Q52))</f>
        <v>0.64680616722559803</v>
      </c>
      <c r="R473" s="8">
        <f>IF(R51=R48,R48,R51+(R51-R48)*(R48*0.15/R52))</f>
        <v>0.42433743966984494</v>
      </c>
    </row>
    <row r="474" spans="17:18" x14ac:dyDescent="0.35">
      <c r="Q474" s="8">
        <f>IF(Q51=Q49,Q49,Q51+(Q51-Q49)*(Q49*0.15/Q52))</f>
        <v>0.83720749156910212</v>
      </c>
      <c r="R474" s="8">
        <f>IF(R51=R49,R49,R51+(R51-R49)*(R49*0.15/R52))</f>
        <v>0.6056090304133368</v>
      </c>
    </row>
    <row r="475" spans="17:18" x14ac:dyDescent="0.35">
      <c r="Q475" s="8">
        <f>IF(Q51=Q50,Q50,Q51+(Q51-Q50)*(Q50*0.15/Q52))</f>
        <v>0.79219405960495937</v>
      </c>
      <c r="R475" s="8">
        <f>IF(R51=R50,R50,R51+(R51-R50)*(R50*0.15/R52))</f>
        <v>0.45595331100948133</v>
      </c>
    </row>
    <row r="476" spans="17:18" x14ac:dyDescent="0.35">
      <c r="Q476" s="8">
        <f>AVERAGE(Q472:Q475)</f>
        <v>0.78446653150209111</v>
      </c>
      <c r="R476" s="8">
        <f>AVERAGE(R472:R475)</f>
        <v>0.52874449010419644</v>
      </c>
    </row>
    <row r="477" spans="17:18" x14ac:dyDescent="0.35">
      <c r="Q477" s="8">
        <f>_xlfn.STDEV.S(Q472:Q475)</f>
        <v>9.6177414516032025E-2</v>
      </c>
      <c r="R477" s="8">
        <f>_xlfn.STDEV.S(R472:R475)</f>
        <v>0.1035606017167665</v>
      </c>
    </row>
    <row r="478" spans="17:18" x14ac:dyDescent="0.35">
      <c r="Q478" s="8">
        <f>IF(Q58=Q54,Q54,Q58+(Q58-Q54)*(Q54*0.15/Q59))</f>
        <v>0.72987212523217238</v>
      </c>
      <c r="R478" s="8">
        <f>IF(R58=R54,R54,R58+(R58-R54)*(R54*0.15/R59))</f>
        <v>0.52611186786613262</v>
      </c>
    </row>
    <row r="479" spans="17:18" x14ac:dyDescent="0.35">
      <c r="Q479" s="8">
        <f>IF(Q58=Q55,Q55,Q58+(Q58-Q55)*(Q55*0.15/Q59))</f>
        <v>0.74507967612997328</v>
      </c>
      <c r="R479" s="8">
        <f>IF(R58=R55,R55,R58+(R58-R55)*(R55*0.15/R59))</f>
        <v>0.54421339186319362</v>
      </c>
    </row>
    <row r="480" spans="17:18" x14ac:dyDescent="0.35">
      <c r="Q480" s="8">
        <f>IF(Q58=Q56,Q56,Q58+(Q58-Q56)*(Q56*0.15/Q59))</f>
        <v>0.74147314759300853</v>
      </c>
      <c r="R480" s="8">
        <f>IF(R58=R56,R56,R58+(R58-R56)*(R56*0.15/R59))</f>
        <v>0.52927022127149204</v>
      </c>
    </row>
    <row r="481" spans="17:18" x14ac:dyDescent="0.35">
      <c r="Q481" s="8">
        <f>IF(Q58=Q57,Q57,Q58+(Q58-Q57)*(Q57*0.15/Q59))</f>
        <v>0.74406564612316983</v>
      </c>
      <c r="R481" s="8">
        <f>IF(R58=R57,R57,R58+(R58-R57)*(R57*0.15/R59))</f>
        <v>0.54184125257298843</v>
      </c>
    </row>
    <row r="482" spans="17:18" x14ac:dyDescent="0.35">
      <c r="Q482" s="8">
        <f>AVERAGE(Q478:Q481)</f>
        <v>0.74012264876958112</v>
      </c>
      <c r="R482" s="8">
        <f>AVERAGE(R478:R481)</f>
        <v>0.53535918339345168</v>
      </c>
    </row>
    <row r="483" spans="17:18" x14ac:dyDescent="0.35">
      <c r="Q483" s="8">
        <f>_xlfn.STDEV.S(Q478:Q481)</f>
        <v>7.000391137765888E-3</v>
      </c>
      <c r="R483" s="8">
        <f>_xlfn.STDEV.S(R478:R481)</f>
        <v>9.0000469009593794E-3</v>
      </c>
    </row>
    <row r="484" spans="17:18" x14ac:dyDescent="0.35">
      <c r="Q484" s="8">
        <f>IF(Q67=Q61,Q61,Q67+(Q67-Q61)*(Q61*0.15/Q68))</f>
        <v>0.86103564129974741</v>
      </c>
      <c r="R484" s="8">
        <f>IF(R67=R61,R61,R67+(R67-R61)*(R61*0.15/R68))</f>
        <v>0.55969047798667149</v>
      </c>
    </row>
    <row r="485" spans="17:18" x14ac:dyDescent="0.35">
      <c r="Q485" s="8">
        <f>IF(Q67=Q62,Q62,Q67+(Q67-Q62)*(Q62*0.15/Q68))</f>
        <v>0.83717513283438816</v>
      </c>
      <c r="R485" s="8">
        <f>IF(R67=R62,R62,R67+(R67-R62)*(R62*0.15/R68))</f>
        <v>0.55026480694122482</v>
      </c>
    </row>
    <row r="486" spans="17:18" x14ac:dyDescent="0.35">
      <c r="Q486" s="8">
        <f>IF(Q67=Q63,Q63,Q67+(Q67-Q63)*(Q63*0.15/Q68))</f>
        <v>0.84838396480662359</v>
      </c>
      <c r="R486" s="8">
        <f>IF(R67=R63,R63,R67+(R67-R63)*(R63*0.15/R68))</f>
        <v>0.54922938509327157</v>
      </c>
    </row>
    <row r="487" spans="17:18" x14ac:dyDescent="0.35">
      <c r="Q487" s="8">
        <f>IF(Q67=Q64,Q64,Q67+(Q67-Q64)*(Q64*0.15/Q68))</f>
        <v>0.8453020519283585</v>
      </c>
      <c r="R487" s="8">
        <f>IF(R67=R64,R64,R67+(R67-R64)*(R64*0.15/R68))</f>
        <v>0.55231296841330502</v>
      </c>
    </row>
    <row r="488" spans="17:18" x14ac:dyDescent="0.35">
      <c r="Q488" s="8">
        <f>IF(Q67=Q65,Q65,Q67+(Q67-Q65)*(Q65*0.15/Q68))</f>
        <v>0.84044423794510381</v>
      </c>
      <c r="R488" s="8">
        <f>IF(R67=R65,R65,R67+(R67-R65)*(R65*0.15/R68))</f>
        <v>0.54848046113182225</v>
      </c>
    </row>
    <row r="489" spans="17:18" x14ac:dyDescent="0.35">
      <c r="Q489" s="8">
        <f>IF(Q67=Q66,Q66,Q67+(Q67-Q66)*(Q66*0.15/Q68))</f>
        <v>0.83612308730702023</v>
      </c>
      <c r="R489" s="8">
        <f>IF(R67=R66,R66,R67+(R67-R66)*(R66*0.15/R68))</f>
        <v>0.5164695279456718</v>
      </c>
    </row>
    <row r="490" spans="17:18" x14ac:dyDescent="0.35">
      <c r="Q490" s="8">
        <f>AVERAGE(Q484:Q489)</f>
        <v>0.84474401935354038</v>
      </c>
      <c r="R490" s="8">
        <f>AVERAGE(R484:R489)</f>
        <v>0.54607460458532786</v>
      </c>
    </row>
    <row r="491" spans="17:18" x14ac:dyDescent="0.35">
      <c r="Q491" s="8">
        <f>_xlfn.STDEV.S(Q484:Q489)</f>
        <v>9.2636297588469391E-3</v>
      </c>
      <c r="R491" s="8">
        <f>_xlfn.STDEV.S(R484:R489)</f>
        <v>1.5060334233545518E-2</v>
      </c>
    </row>
    <row r="492" spans="17:18" x14ac:dyDescent="0.35">
      <c r="Q492" s="8">
        <f>IF(Q73=Q70,Q70,Q73+(Q73-Q70)*(Q70*0.15/Q74))</f>
        <v>0.83621742487474038</v>
      </c>
      <c r="R492" s="8">
        <f>IF(R73=R70,R70,R73+(R73-R70)*(R70*0.15/R74))</f>
        <v>0.73582647361156583</v>
      </c>
    </row>
    <row r="493" spans="17:18" x14ac:dyDescent="0.35">
      <c r="Q493" s="8">
        <f>IF(Q73=Q71,Q71,Q73+(Q73-Q71)*(Q71*0.15/Q74))</f>
        <v>0.83623894816285826</v>
      </c>
      <c r="R493" s="8">
        <f>IF(R73=R71,R71,R73+(R73-R71)*(R71*0.15/R74))</f>
        <v>0.73338398708408026</v>
      </c>
    </row>
    <row r="494" spans="17:18" x14ac:dyDescent="0.35">
      <c r="Q494" s="8">
        <f>IF(Q73=Q72,Q72,Q73+(Q73-Q72)*(Q72*0.15/Q74))</f>
        <v>0.83622792187410477</v>
      </c>
      <c r="R494" s="8">
        <f>IF(R73=R72,R72,R73+(R73-R72)*(R72*0.15/R74))</f>
        <v>0.72721830149924049</v>
      </c>
    </row>
    <row r="495" spans="17:18" x14ac:dyDescent="0.35">
      <c r="Q495" s="8">
        <f>AVERAGE(Q492:Q494)</f>
        <v>0.8362280983039011</v>
      </c>
      <c r="R495" s="8">
        <f>AVERAGE(R492:R494)</f>
        <v>0.73214292073162879</v>
      </c>
    </row>
    <row r="496" spans="17:18" x14ac:dyDescent="0.35">
      <c r="Q496" s="8">
        <f>_xlfn.STDEV.S(Q492:Q494)</f>
        <v>1.076272867149261E-5</v>
      </c>
      <c r="R496" s="8">
        <f>_xlfn.STDEV.S(R492:R494)</f>
        <v>4.4362530413902439E-3</v>
      </c>
    </row>
    <row r="497" spans="17:18" x14ac:dyDescent="0.35">
      <c r="Q497" s="8">
        <f>IF(Q80=Q76,Q76,Q80+(Q80-Q76)*(Q76*0.15/Q81))</f>
        <v>0.75178890827154043</v>
      </c>
      <c r="R497" s="8">
        <f>IF(R80=R76,R76,R80+(R80-R76)*(R76*0.15/R81))</f>
        <v>0.49656419798617568</v>
      </c>
    </row>
    <row r="498" spans="17:18" x14ac:dyDescent="0.35">
      <c r="Q498" s="8">
        <f>IF(Q80=Q77,Q77,Q80+(Q80-Q77)*(Q77*0.15/Q81))</f>
        <v>0.76392706101083241</v>
      </c>
      <c r="R498" s="8">
        <f>IF(R80=R77,R77,R80+(R80-R77)*(R77*0.15/R81))</f>
        <v>0.49804440081367113</v>
      </c>
    </row>
    <row r="499" spans="17:18" x14ac:dyDescent="0.35">
      <c r="Q499" s="8">
        <f>IF(Q80=Q78,Q78,Q80+(Q80-Q78)*(Q78*0.15/Q81))</f>
        <v>0.75179060997096336</v>
      </c>
      <c r="R499" s="8">
        <f>IF(R80=R78,R78,R80+(R80-R78)*(R78*0.15/R81))</f>
        <v>0.50832021776797498</v>
      </c>
    </row>
    <row r="500" spans="17:18" x14ac:dyDescent="0.35">
      <c r="Q500" s="8">
        <f>IF(Q80=Q79,Q79,Q80+(Q80-Q79)*(Q79*0.15/Q81))</f>
        <v>0.76279075297765175</v>
      </c>
      <c r="R500" s="8">
        <f>IF(R80=R79,R79,R80+(R80-R79)*(R79*0.15/R81))</f>
        <v>0.49461318643413055</v>
      </c>
    </row>
    <row r="501" spans="17:18" x14ac:dyDescent="0.35">
      <c r="Q501" s="8">
        <f>AVERAGE(Q497:Q500)</f>
        <v>0.75757433305774691</v>
      </c>
      <c r="R501" s="8">
        <f>AVERAGE(R497:R500)</f>
        <v>0.49938550075048804</v>
      </c>
    </row>
    <row r="502" spans="17:18" x14ac:dyDescent="0.35">
      <c r="Q502" s="8">
        <f>_xlfn.STDEV.S(Q497:Q500)</f>
        <v>6.6955403547968445E-3</v>
      </c>
      <c r="R502" s="8">
        <f>_xlfn.STDEV.S(R497:R500)</f>
        <v>6.1199795872515861E-3</v>
      </c>
    </row>
    <row r="503" spans="17:18" x14ac:dyDescent="0.35">
      <c r="Q503" s="8">
        <f>IF(Q90=Q83,Q83,Q90+(Q90-Q83)*(Q83*0.15/Q91))</f>
        <v>0.84063757942367157</v>
      </c>
      <c r="R503" s="8">
        <f>IF(R90=R83,R83,R90+(R90-R83)*(R83*0.15/R91))</f>
        <v>0.61347275263745527</v>
      </c>
    </row>
    <row r="504" spans="17:18" x14ac:dyDescent="0.35">
      <c r="Q504" s="8">
        <f>IF(Q90=Q84,Q84,Q90+(Q90-Q84)*(Q84*0.15/Q91))</f>
        <v>0.84186063617148343</v>
      </c>
      <c r="R504" s="8">
        <f>IF(R90=R84,R84,R90+(R90-R84)*(R84*0.15/R91))</f>
        <v>0.62186833776990125</v>
      </c>
    </row>
    <row r="505" spans="17:18" x14ac:dyDescent="0.35">
      <c r="Q505" s="8">
        <f>IF(Q90=Q85,Q85,Q90+(Q90-Q85)*(Q85*0.15/Q91))</f>
        <v>0.83881105972100278</v>
      </c>
      <c r="R505" s="8">
        <f>IF(R90=R85,R85,R90+(R90-R85)*(R85*0.15/R91))</f>
        <v>0.61695992014043344</v>
      </c>
    </row>
    <row r="506" spans="17:18" x14ac:dyDescent="0.35">
      <c r="Q506" s="8">
        <f>IF(Q90=Q86,Q86,Q90+(Q90-Q86)*(Q86*0.15/Q91))</f>
        <v>0.84626632544359393</v>
      </c>
      <c r="R506" s="8">
        <f>IF(R90=R86,R86,R90+(R90-R86)*(R86*0.15/R91))</f>
        <v>0.62601230368488858</v>
      </c>
    </row>
    <row r="507" spans="17:18" x14ac:dyDescent="0.35">
      <c r="Q507" s="8">
        <f>IF(Q90=Q87,Q87,Q90+(Q90-Q87)*(Q87*0.15/Q91))</f>
        <v>0.83622885572139294</v>
      </c>
      <c r="R507" s="8">
        <f>IF(R90=R87,R87,R90+(R90-R87)*(R87*0.15/R91))</f>
        <v>0.59672096104344408</v>
      </c>
    </row>
    <row r="508" spans="17:18" x14ac:dyDescent="0.35">
      <c r="Q508" s="8">
        <f>IF(Q90=Q88,Q88,Q90+(Q90-Q88)*(Q88*0.15/Q91))</f>
        <v>0.84668363383088163</v>
      </c>
      <c r="R508" s="8">
        <f>IF(R90=R88,R88,R90+(R90-R88)*(R88*0.15/R91))</f>
        <v>0.61788183836917521</v>
      </c>
    </row>
    <row r="509" spans="17:18" x14ac:dyDescent="0.35">
      <c r="Q509" s="8">
        <f>IF(Q90=Q89,Q89,Q90+(Q90-Q89)*(Q89*0.15/Q91))</f>
        <v>0.83624138735452325</v>
      </c>
      <c r="R509" s="8">
        <f>IF(R90=R89,R89,R90+(R90-R89)*(R89*0.15/R91))</f>
        <v>0.62994994726422526</v>
      </c>
    </row>
    <row r="510" spans="17:18" x14ac:dyDescent="0.35">
      <c r="Q510" s="8">
        <f>AVERAGE(Q503:Q509)</f>
        <v>0.84096135395236415</v>
      </c>
      <c r="R510" s="8">
        <f>AVERAGE(R503:R509)</f>
        <v>0.61755229441564619</v>
      </c>
    </row>
    <row r="511" spans="17:18" x14ac:dyDescent="0.35">
      <c r="Q511" s="8">
        <f>_xlfn.STDEV.S(Q503:Q509)</f>
        <v>4.3030829540808366E-3</v>
      </c>
      <c r="R511" s="8">
        <f>_xlfn.STDEV.S(R503:R509)</f>
        <v>1.0762189994826218E-2</v>
      </c>
    </row>
    <row r="512" spans="17:18" x14ac:dyDescent="0.35">
      <c r="Q512" s="8">
        <f>IF(Q97=Q93,Q93,Q97+(Q97-Q93)*(Q93*0.15/Q98))</f>
        <v>-0.11088141103084631</v>
      </c>
      <c r="R512" s="8">
        <f>IF(R97=R93,R93,R97+(R97-R93)*(R93*0.15/R98))</f>
        <v>-5.1484123835232105E-2</v>
      </c>
    </row>
    <row r="513" spans="17:18" x14ac:dyDescent="0.35">
      <c r="Q513" s="8">
        <f>IF(Q97=Q94,Q94,Q97+(Q97-Q94)*(Q94*0.15/Q98))</f>
        <v>-0.11088141103084631</v>
      </c>
      <c r="R513" s="8">
        <f>IF(R97=R94,R94,R97+(R97-R94)*(R94*0.15/R98))</f>
        <v>-7.2566912829361924E-2</v>
      </c>
    </row>
    <row r="514" spans="17:18" x14ac:dyDescent="0.35">
      <c r="Q514" s="8">
        <f>IF(Q97=Q95,Q95,Q97+(Q97-Q95)*(Q95*0.15/Q98))</f>
        <v>-0.10323303760852399</v>
      </c>
      <c r="R514" s="8">
        <f>IF(R97=R95,R95,R97+(R97-R95)*(R95*0.15/R98))</f>
        <v>-5.7739421313268792E-2</v>
      </c>
    </row>
    <row r="515" spans="17:18" x14ac:dyDescent="0.35">
      <c r="Q515" s="8">
        <f>IF(Q97=Q96,Q96,Q97+(Q97-Q96)*(Q96*0.15/Q98))</f>
        <v>1.6726976547431105E-2</v>
      </c>
      <c r="R515" s="8">
        <f>IF(R97=R96,R96,R97+(R97-R96)*(R96*0.15/R98))</f>
        <v>2.9081552356943513E-2</v>
      </c>
    </row>
    <row r="516" spans="17:18" x14ac:dyDescent="0.35">
      <c r="Q516" s="8">
        <f>AVERAGE(Q512:Q515)</f>
        <v>-7.7067220780696374E-2</v>
      </c>
      <c r="R516" s="8">
        <f>AVERAGE(R512:R515)</f>
        <v>-3.8177226405229824E-2</v>
      </c>
    </row>
    <row r="517" spans="17:18" x14ac:dyDescent="0.35">
      <c r="Q517" s="8">
        <f>_xlfn.STDEV.S(Q512:Q515)</f>
        <v>6.2633325387373498E-2</v>
      </c>
      <c r="R517" s="8">
        <f>_xlfn.STDEV.S(R512:R515)</f>
        <v>4.5702468356978346E-2</v>
      </c>
    </row>
    <row r="518" spans="17:18" x14ac:dyDescent="0.35">
      <c r="Q518" s="8">
        <f>IF(Q103=Q100,Q100,Q103+(Q103-Q100)*(Q100*0.15/Q104))</f>
        <v>-826680.52748932445</v>
      </c>
      <c r="R518" s="8">
        <f>IF(R103=R100,R100,R103+(R103-R100)*(R100*0.15/R104))</f>
        <v>-17.438752394950228</v>
      </c>
    </row>
    <row r="519" spans="17:18" x14ac:dyDescent="0.35">
      <c r="Q519" s="8">
        <f>IF(Q103=Q101,Q101,Q103+(Q103-Q101)*(Q101*0.15/Q104))</f>
        <v>-826679.59292709967</v>
      </c>
      <c r="R519" s="8">
        <f>IF(R103=R101,R101,R103+(R103-R101)*(R101*0.15/R104))</f>
        <v>-18.194365112439041</v>
      </c>
    </row>
    <row r="520" spans="17:18" x14ac:dyDescent="0.35">
      <c r="Q520" s="8">
        <f>IF(Q103=Q102,Q102,Q103+(Q103-Q102)*(Q102*0.15/Q104))</f>
        <v>-826680.06020814623</v>
      </c>
      <c r="R520" s="8">
        <f>IF(R103=R102,R102,R103+(R103-R102)*(R102*0.15/R104))</f>
        <v>-17.673200246509587</v>
      </c>
    </row>
    <row r="521" spans="17:18" x14ac:dyDescent="0.35">
      <c r="Q521" s="8">
        <f>AVERAGE(Q518:Q520)</f>
        <v>-826680.06020819023</v>
      </c>
      <c r="R521" s="8">
        <f>AVERAGE(R518:R520)</f>
        <v>-17.768772584632952</v>
      </c>
    </row>
    <row r="522" spans="17:18" x14ac:dyDescent="0.35">
      <c r="Q522" s="8">
        <f>_xlfn.STDEV.S(Q518:Q520)</f>
        <v>0.46728111238917491</v>
      </c>
      <c r="R522" s="8">
        <f>_xlfn.STDEV.S(R518:R520)</f>
        <v>0.3867663358779847</v>
      </c>
    </row>
    <row r="523" spans="17:18" x14ac:dyDescent="0.35">
      <c r="Q523" s="8">
        <f>IF(Q115=Q106,Q106,Q115+(Q115-Q106)*(Q106*0.15/Q116))</f>
        <v>0.74936278123557531</v>
      </c>
      <c r="R523" s="8">
        <f>IF(R115=R106,R106,R115+(R115-R106)*(R106*0.15/R116))</f>
        <v>0.68200227233499733</v>
      </c>
    </row>
    <row r="524" spans="17:18" x14ac:dyDescent="0.35">
      <c r="Q524" s="8">
        <f>IF(Q115=Q107,Q107,Q115+(Q115-Q107)*(Q107*0.15/Q116))</f>
        <v>0.7291577136648818</v>
      </c>
      <c r="R524" s="8">
        <f>IF(R115=R107,R107,R115+(R115-R107)*(R107*0.15/R116))</f>
        <v>0.67542453007880709</v>
      </c>
    </row>
    <row r="525" spans="17:18" x14ac:dyDescent="0.35">
      <c r="Q525" s="8">
        <f>IF(Q115=Q108,Q108,Q115+(Q115-Q108)*(Q108*0.15/Q116))</f>
        <v>0.74181913506554253</v>
      </c>
      <c r="R525" s="8">
        <f>IF(R115=R108,R108,R115+(R115-R108)*(R108*0.15/R116))</f>
        <v>0.67570058320244486</v>
      </c>
    </row>
    <row r="526" spans="17:18" x14ac:dyDescent="0.35">
      <c r="Q526" s="8">
        <f>IF(Q115=Q109,Q109,Q115+(Q115-Q109)*(Q109*0.15/Q116))</f>
        <v>0.74856701607493104</v>
      </c>
      <c r="R526" s="8">
        <f>IF(R115=R109,R109,R115+(R115-R109)*(R109*0.15/R116))</f>
        <v>0.66713793547689726</v>
      </c>
    </row>
    <row r="527" spans="17:18" x14ac:dyDescent="0.35">
      <c r="Q527" s="8">
        <f>IF(Q115=Q110,Q110,Q115+(Q115-Q110)*(Q110*0.15/Q110))</f>
        <v>0.8445888953645645</v>
      </c>
      <c r="R527" s="8">
        <f>IF(R115=R110,R110,R115+(R115-R110)*(R110*0.15/R110))</f>
        <v>0.75145896625788944</v>
      </c>
    </row>
    <row r="528" spans="17:18" x14ac:dyDescent="0.35">
      <c r="Q528" s="8">
        <f>IF(Q115=Q111,Q111,Q115+(Q115-Q111)*(Q111*0.15/Q116))</f>
        <v>0.74467561916517799</v>
      </c>
      <c r="R528" s="8">
        <f>IF(R115=R111,R111,R115+(R115-R111)*(R111*0.15/R116))</f>
        <v>0.66766906502649714</v>
      </c>
    </row>
    <row r="529" spans="17:18" x14ac:dyDescent="0.35">
      <c r="Q529" s="8">
        <f>IF(Q115=Q112,Q112,Q115+(Q115-Q112)*(Q112*0.15/Q116))</f>
        <v>0.74936278123557531</v>
      </c>
      <c r="R529" s="8">
        <f>IF(R115=R112,R112,R115+(R115-R112)*(R112*0.15/R116))</f>
        <v>0.68200227233499733</v>
      </c>
    </row>
    <row r="530" spans="17:18" x14ac:dyDescent="0.35">
      <c r="Q530" s="8">
        <f>IF(Q115=Q113,Q113,Q115+(Q115-Q113)*(Q113*0.15/Q116))</f>
        <v>0.7291577136648818</v>
      </c>
      <c r="R530" s="8">
        <f>IF(R115=R113,R113,R115+(R115-R113)*(R113*0.15/R116))</f>
        <v>0.67542453007880709</v>
      </c>
    </row>
    <row r="531" spans="17:18" x14ac:dyDescent="0.35">
      <c r="Q531" s="8">
        <f>IF(Q115=Q114,Q114,Q115+(Q115-Q114)*(Q114*0.15/Q116))</f>
        <v>0.75625453685331967</v>
      </c>
      <c r="R531" s="8">
        <f>IF(R115=R114,R114,R115+(R115-R114)*(R114*0.15/R116))</f>
        <v>0.6836843394043014</v>
      </c>
    </row>
    <row r="532" spans="17:18" x14ac:dyDescent="0.35">
      <c r="Q532" s="8">
        <f>AVERAGE(Q523:Q531)</f>
        <v>0.75477179914716108</v>
      </c>
      <c r="R532" s="8">
        <f>AVERAGE(R523:R531)</f>
        <v>0.68450049935507096</v>
      </c>
    </row>
    <row r="533" spans="17:18" x14ac:dyDescent="0.35">
      <c r="Q533" s="8">
        <f>_xlfn.STDEV.S(Q523:Q531)</f>
        <v>3.4907360745564074E-2</v>
      </c>
      <c r="R533" s="8">
        <f>_xlfn.STDEV.S(R523:R531)</f>
        <v>2.5796136945311469E-2</v>
      </c>
    </row>
    <row r="534" spans="17:18" x14ac:dyDescent="0.35">
      <c r="Q534" s="8">
        <f>IF(Q127=Q118,Q118,Q127+(Q127-Q118)*(Q118*0.15/Q128))</f>
        <v>0.82675626250701872</v>
      </c>
      <c r="R534" s="8">
        <f>IF(R127=R118,R118,R127+(R127-R118)*(R118*0.15/R128))</f>
        <v>0.54599943587950317</v>
      </c>
    </row>
    <row r="535" spans="17:18" x14ac:dyDescent="0.35">
      <c r="Q535" s="8">
        <f>IF(Q127=Q119,Q119,Q127+(Q127-Q119)*(Q119*0.15/Q128))</f>
        <v>0.83296524439642494</v>
      </c>
      <c r="R535" s="8">
        <f>IF(R127=R119,R119,R127+(R127-R119)*(R119*0.15/R128))</f>
        <v>0.55951609466469077</v>
      </c>
    </row>
    <row r="536" spans="17:18" x14ac:dyDescent="0.35">
      <c r="Q536" s="8">
        <f>IF(Q127=Q120,Q120,Q127+(Q127-Q120)*(Q120*0.15/Q128))</f>
        <v>0.83832985889501421</v>
      </c>
      <c r="R536" s="8">
        <f>IF(R127=R120,R120,R127+(R127-R120)*(R120*0.15/R128))</f>
        <v>0.55844731080179144</v>
      </c>
    </row>
    <row r="537" spans="17:18" x14ac:dyDescent="0.35">
      <c r="Q537" s="8">
        <f>IF(Q127=Q121,Q121,Q127+(Q127-Q121)*(Q121*0.15/Q128))</f>
        <v>0.83620155124078499</v>
      </c>
      <c r="R537" s="8">
        <f>IF(R127=R121,R121,R127+(R127-R121)*(R121*0.15/R128))</f>
        <v>0.56546345237186069</v>
      </c>
    </row>
    <row r="538" spans="17:18" x14ac:dyDescent="0.35">
      <c r="Q538" s="8">
        <f>IF(Q127=Q122,Q122,Q127+(Q127-Q122)*(Q122*0.15/Q128))</f>
        <v>0.82978299446739057</v>
      </c>
      <c r="R538" s="8">
        <f>IF(R127=R122,R122,R127+(R127-R122)*(R122*0.15/R128))</f>
        <v>0.55968531730713467</v>
      </c>
    </row>
    <row r="539" spans="17:18" x14ac:dyDescent="0.35">
      <c r="Q539" s="8">
        <f>IF(Q127=Q123,Q123,Q127+(Q127-Q123)*(Q123*0.15/Q128))</f>
        <v>0.82389500000000004</v>
      </c>
      <c r="R539" s="8">
        <f>IF(R127=R123,R123,R127+(R127-R123)*(R123*0.15/R128))</f>
        <v>0.55427609999999994</v>
      </c>
    </row>
    <row r="540" spans="17:18" x14ac:dyDescent="0.35">
      <c r="Q540" s="8">
        <f>IF(Q127=Q124,Q124,Q127+(Q127-Q124)*(Q124*0.15/Q128))</f>
        <v>0.82389500000000004</v>
      </c>
      <c r="R540" s="8">
        <f>IF(R127=R124,R124,R127+(R127-R124)*(R124*0.15/R128))</f>
        <v>0.56084726190663325</v>
      </c>
    </row>
    <row r="541" spans="17:18" x14ac:dyDescent="0.35">
      <c r="Q541" s="8">
        <f>IF(Q127=Q125,Q125,Q127+(Q127-Q125)*(Q125*0.15/Q128))</f>
        <v>0.82389500000000004</v>
      </c>
      <c r="R541" s="8">
        <f>IF(R127=R125,R125,R127+(R127-R125)*(R125*0.15/R128))</f>
        <v>0.54828147984251141</v>
      </c>
    </row>
    <row r="542" spans="17:18" x14ac:dyDescent="0.35">
      <c r="Q542" s="8">
        <f>IF(Q127=Q126,Q126,Q127+(Q127-Q126)*(Q126*0.15/Q128))</f>
        <v>0.82389500000000004</v>
      </c>
      <c r="R542" s="8">
        <f>IF(R127=R126,R126,R127+(R127-R126)*(R126*0.15/R128))</f>
        <v>0.55293960149465649</v>
      </c>
    </row>
    <row r="543" spans="17:18" x14ac:dyDescent="0.35">
      <c r="Q543" s="8">
        <f>AVERAGE(Q534:Q542)</f>
        <v>0.82884621238962608</v>
      </c>
      <c r="R543" s="8">
        <f>AVERAGE(R534:R542)</f>
        <v>0.55616178380764247</v>
      </c>
    </row>
    <row r="544" spans="17:18" x14ac:dyDescent="0.35">
      <c r="Q544" s="8">
        <f>_xlfn.STDEV.S(Q534:Q542)</f>
        <v>5.7479393373771181E-3</v>
      </c>
      <c r="R544" s="8">
        <f>_xlfn.STDEV.S(R534:R542)</f>
        <v>6.2916197701721596E-3</v>
      </c>
    </row>
    <row r="545" spans="17:18" x14ac:dyDescent="0.35">
      <c r="Q545" s="8">
        <f>IF(Q139=Q130,Q130,Q139+(Q139-Q130)*(Q130*0.15/Q140))</f>
        <v>0.82389549571754261</v>
      </c>
      <c r="R545" s="8">
        <f>IF(R139=R130,R130,R139+(R139-R130)*(R130*0.15/R140))</f>
        <v>0.6022622965047334</v>
      </c>
    </row>
    <row r="546" spans="17:18" x14ac:dyDescent="0.35">
      <c r="Q546" s="8">
        <f>IF(Q139=Q131,Q131,Q139+(Q139-Q131)*(Q131*0.15/Q140))</f>
        <v>0.82389392005508533</v>
      </c>
      <c r="R546" s="8">
        <f>IF(R139=R131,R131,R139+(R139-R131)*(R131*0.15/R140))</f>
        <v>0.60812317670067051</v>
      </c>
    </row>
    <row r="547" spans="17:18" x14ac:dyDescent="0.35">
      <c r="Q547" s="8">
        <f>IF(Q139=Q132,Q132,Q139+(Q139-Q132)*(Q132*0.15/Q140))</f>
        <v>0.82389557007512926</v>
      </c>
      <c r="R547" s="8">
        <f>IF(R139=R132,R132,R139+(R139-R132)*(R132*0.15/R140))</f>
        <v>0.60263211095339575</v>
      </c>
    </row>
    <row r="548" spans="17:18" x14ac:dyDescent="0.35">
      <c r="Q548" s="8">
        <f>IF(Q139=Q133,Q133,Q139+(Q139-Q133)*(Q133*0.15/Q140))</f>
        <v>0.82389557007512926</v>
      </c>
      <c r="R548" s="8">
        <f>IF(R139=R133,R133,R139+(R139-R133)*(R133*0.15/R140))</f>
        <v>0.6051561442130694</v>
      </c>
    </row>
    <row r="549" spans="17:18" x14ac:dyDescent="0.35">
      <c r="Q549" s="8">
        <f>IF(Q139=Q134,Q134,Q139+(Q139-Q134)*(Q134*0.15/Q140))</f>
        <v>0.82389557007512926</v>
      </c>
      <c r="R549" s="8">
        <f>IF(R139=R134,R134,R139+(R139-R134)*(R134*0.15/R140))</f>
        <v>0.60660366168065427</v>
      </c>
    </row>
    <row r="550" spans="17:18" x14ac:dyDescent="0.35">
      <c r="Q550" s="8">
        <f>IF(Q139=Q135,Q135,Q139+(Q139-Q135)*(Q135*0.15/Q140))</f>
        <v>0.82389549571754261</v>
      </c>
      <c r="R550" s="8">
        <f>IF(R139=R135,R135,R139+(R139-R135)*(R135*0.15/R140))</f>
        <v>0.59941381061274568</v>
      </c>
    </row>
    <row r="551" spans="17:18" x14ac:dyDescent="0.35">
      <c r="Q551" s="8">
        <f>IF(Q139=Q136,Q136,Q139+(Q139-Q136)*(Q136*0.15/Q140))</f>
        <v>0.82609121809069852</v>
      </c>
      <c r="R551" s="8">
        <f>IF(R139=R136,R136,R139+(R139-R136)*(R136*0.15/R140))</f>
        <v>0.60629237721636586</v>
      </c>
    </row>
    <row r="552" spans="17:18" x14ac:dyDescent="0.35">
      <c r="Q552" s="8">
        <f>IF(Q139=Q137,Q137,Q139+(Q139-Q137)*(Q137*0.15/Q140))</f>
        <v>0.82389549571754261</v>
      </c>
      <c r="R552" s="8">
        <f>IF(R139=R137,R137,R139+(R139-R137)*(R137*0.15/R140))</f>
        <v>0.60641662710414745</v>
      </c>
    </row>
    <row r="553" spans="17:18" x14ac:dyDescent="0.35">
      <c r="Q553" s="8">
        <f>IF(Q139=Q138,Q138,Q139+(Q139-Q138)*(Q138*0.15/Q140))</f>
        <v>0.82389549571754261</v>
      </c>
      <c r="R553" s="8">
        <f>IF(R139=R138,R138,R139+(R139-R138)*(R138*0.15/R140))</f>
        <v>0.60277011166841554</v>
      </c>
    </row>
    <row r="554" spans="17:18" x14ac:dyDescent="0.35">
      <c r="Q554" s="8">
        <f>AVERAGE(Q545:Q553)</f>
        <v>0.82413931458237133</v>
      </c>
      <c r="R554" s="8">
        <f>AVERAGE(R545:R553)</f>
        <v>0.60440781296157753</v>
      </c>
    </row>
    <row r="555" spans="17:18" x14ac:dyDescent="0.35">
      <c r="Q555" s="8">
        <f>_xlfn.STDEV.S(Q545:Q553)</f>
        <v>7.3196400950280771E-4</v>
      </c>
      <c r="R555" s="8">
        <f>_xlfn.STDEV.S(R545:R553)</f>
        <v>2.7872719444114271E-3</v>
      </c>
    </row>
    <row r="556" spans="17:18" x14ac:dyDescent="0.35">
      <c r="Q556" s="8">
        <f>IF(Q151=Q142,Q142,Q151+(Q151-Q142)*(Q142*0.15/Q152))</f>
        <v>0.85318618757523934</v>
      </c>
      <c r="R556" s="8">
        <f>IF(R151=R142,R142,R151+(R151-R142)*(R142*0.15/R152))</f>
        <v>0.50442883098113211</v>
      </c>
    </row>
    <row r="557" spans="17:18" x14ac:dyDescent="0.35">
      <c r="Q557" s="8">
        <f>IF(Q151=Q143,Q143,Q151+(Q151-Q143)*(Q143*0.15/Q152))</f>
        <v>0.67773378491994241</v>
      </c>
      <c r="R557" s="8">
        <f>IF(R151=R143,R143,R151+(R151-R143)*(R143*0.15/R152))</f>
        <v>0.40648282216913201</v>
      </c>
    </row>
    <row r="558" spans="17:18" x14ac:dyDescent="0.35">
      <c r="Q558" s="8">
        <f>IF(Q151=Q144,Q144,Q151+(Q151-Q144)*(Q144*0.15/Q152))</f>
        <v>0.84429336267548871</v>
      </c>
      <c r="R558" s="8">
        <f>IF(R151=R144,R144,R151+(R151-R144)*(R144*0.15/R152))</f>
        <v>0.57716479838410006</v>
      </c>
    </row>
    <row r="559" spans="17:18" x14ac:dyDescent="0.35">
      <c r="Q559" s="8">
        <f>IF(Q151=Q145,Q145,Q151+(Q151-Q145)*(Q145*0.15/Q152))</f>
        <v>0.80485560300718406</v>
      </c>
      <c r="R559" s="8">
        <f>IF(R151=R145,R145,R151+(R151-R145)*(R145*0.15/R152))</f>
        <v>0.5403277392276189</v>
      </c>
    </row>
    <row r="560" spans="17:18" x14ac:dyDescent="0.35">
      <c r="Q560" s="8">
        <f>IF(Q151=Q146,Q146,Q151+(Q151-Q146)*(Q146*0.15/Q152))</f>
        <v>0.82601986234793734</v>
      </c>
      <c r="R560" s="8">
        <f>IF(R151=R146,R146,R151+(R151-R146)*(R146*0.15/R152))</f>
        <v>0.59249463017154691</v>
      </c>
    </row>
    <row r="561" spans="17:18" x14ac:dyDescent="0.35">
      <c r="Q561" s="8">
        <f>IF(Q151=Q147,Q147,Q151+(Q151-Q147)*(Q147*0.15/Q152))</f>
        <v>0.85318618757523934</v>
      </c>
      <c r="R561" s="8">
        <f>IF(R151=R147,R147,R151+(R151-R147)*(R147*0.15/R152))</f>
        <v>0.50442883098113211</v>
      </c>
    </row>
    <row r="562" spans="17:18" x14ac:dyDescent="0.35">
      <c r="Q562" s="8">
        <f>IF(Q151=Q148,Q148,Q151+(Q151-Q148)*(Q148*0.15/Q152))</f>
        <v>0.63792251398509903</v>
      </c>
      <c r="R562" s="8">
        <f>IF(R151=R148,R148,R151+(R151-R148)*(R148*0.15/R152))</f>
        <v>0.55157457227767781</v>
      </c>
    </row>
    <row r="563" spans="17:18" x14ac:dyDescent="0.35">
      <c r="Q563" s="8">
        <f>IF(Q151=Q149,Q149,Q151+(Q151-Q149)*(Q149*0.15/Q152))</f>
        <v>0.63792251398509903</v>
      </c>
      <c r="R563" s="8">
        <f>IF(R151=R149,R149,R151+(R151-R149)*(R149*0.15/R152))</f>
        <v>0.38963483152042483</v>
      </c>
    </row>
    <row r="564" spans="17:18" x14ac:dyDescent="0.35">
      <c r="Q564" s="8">
        <f>IF(Q151=Q150,Q150,Q151+(Q151-Q150)*(Q150*0.15/Q152))</f>
        <v>0.87367103363737542</v>
      </c>
      <c r="R564" s="8">
        <f>IF(R151=R150,R150,R151+(R151-R150)*(R150*0.15/R152))</f>
        <v>0.47604978042334201</v>
      </c>
    </row>
    <row r="565" spans="17:18" x14ac:dyDescent="0.35">
      <c r="Q565" s="8">
        <f>AVERAGE(Q556:Q564)</f>
        <v>0.77875456107873398</v>
      </c>
      <c r="R565" s="8">
        <f>AVERAGE(R556:R564)</f>
        <v>0.5047318706817896</v>
      </c>
    </row>
    <row r="566" spans="17:18" x14ac:dyDescent="0.35">
      <c r="Q566" s="8">
        <f>_xlfn.STDEV.S(Q556:Q564)</f>
        <v>9.8216856120942719E-2</v>
      </c>
      <c r="R566" s="8">
        <f>_xlfn.STDEV.S(R556:R564)</f>
        <v>7.0828300703345642E-2</v>
      </c>
    </row>
    <row r="567" spans="17:18" x14ac:dyDescent="0.35">
      <c r="Q567" s="8">
        <f>IF(Q164=Q154,Q154,Q164+(Q164-Q154)*(Q154*0.15/Q165))</f>
        <v>0.82595156772858913</v>
      </c>
      <c r="R567" s="8">
        <f>IF(R164=R154,R154,R164+(R164-R154)*(R154*0.15/R165))</f>
        <v>0.49394269286254666</v>
      </c>
    </row>
    <row r="568" spans="17:18" x14ac:dyDescent="0.35">
      <c r="Q568" s="8">
        <f>IF(Q164=Q155,Q155,Q164+(Q164-Q155)*(Q155*0.15/Q165))</f>
        <v>0.82595156772858913</v>
      </c>
      <c r="R568" s="8">
        <f>IF(R164=R155,R155,R164+(R164-R155)*(R155*0.15/R165))</f>
        <v>0.49643160003171516</v>
      </c>
    </row>
    <row r="569" spans="17:18" x14ac:dyDescent="0.35">
      <c r="Q569" s="8">
        <f>IF(Q164=Q156,Q156,Q164+(Q164-Q156)*(Q156*0.15/Q165))</f>
        <v>0.82595156772858913</v>
      </c>
      <c r="R569" s="8">
        <f>IF(R164=R156,R156,R164+(R164-R156)*(R156*0.15/R165))</f>
        <v>0.50206344421506377</v>
      </c>
    </row>
    <row r="570" spans="17:18" x14ac:dyDescent="0.35">
      <c r="Q570" s="8">
        <f>IF(Q164=Q157,Q157,Q164+(Q164-Q157)*(Q157*0.15/Q165))</f>
        <v>0.82595156772858913</v>
      </c>
      <c r="R570" s="8">
        <f>IF(R164=R157,R157,R164+(R164-R157)*(R157*0.15/R165))</f>
        <v>0.49956686874745193</v>
      </c>
    </row>
    <row r="571" spans="17:18" x14ac:dyDescent="0.35">
      <c r="Q571" s="8">
        <f>IF(Q164=Q158,Q158,Q164+(Q164-Q158)*(Q158*0.15/Q165))</f>
        <v>0.82595156772858913</v>
      </c>
      <c r="R571" s="8">
        <f>IF(R164=R158,R158,R164+(R164-R158)*(R158*0.15/R165))</f>
        <v>0.49809176805953476</v>
      </c>
    </row>
    <row r="572" spans="17:18" x14ac:dyDescent="0.35">
      <c r="Q572" s="8">
        <f>IF(Q164=Q159,Q159,Q164+(Q164-Q159)*(Q159*0.15/Q165))</f>
        <v>0.82595149367707255</v>
      </c>
      <c r="R572" s="8">
        <f>IF(R164=R159,R159,R164+(R164-R159)*(R159*0.15/R165))</f>
        <v>0.5098208328114554</v>
      </c>
    </row>
    <row r="573" spans="17:18" x14ac:dyDescent="0.35">
      <c r="Q573" s="8">
        <f>IF(Q164=Q160,Q160,Q164+(Q164-Q160)*(Q160*0.15/Q165))</f>
        <v>0.82595149367707255</v>
      </c>
      <c r="R573" s="8">
        <f>IF(R164=R160,R160,R164+(R164-R160)*(R160*0.15/R165))</f>
        <v>0.50832221369401087</v>
      </c>
    </row>
    <row r="574" spans="17:18" x14ac:dyDescent="0.35">
      <c r="Q574" s="8">
        <f>IF(Q164=Q161,Q161,Q164+(Q164-Q161)*(Q161*0.15/Q165))</f>
        <v>0.83776523494884458</v>
      </c>
      <c r="R574" s="8">
        <f>IF(R164=R161,R161,R164+(R164-R161)*(R161*0.15/R165))</f>
        <v>0.50226907050890646</v>
      </c>
    </row>
    <row r="575" spans="17:18" x14ac:dyDescent="0.35">
      <c r="Q575" s="8">
        <f>IF(Q164=Q162,Q162,Q164+(Q164-Q162)*(Q162*0.15/Q165))</f>
        <v>0.82595156772858913</v>
      </c>
      <c r="R575" s="8">
        <f>IF(R164=R162,R162,R164+(R164-R162)*(R162*0.15/R165))</f>
        <v>0.49382496034983692</v>
      </c>
    </row>
    <row r="576" spans="17:18" x14ac:dyDescent="0.35">
      <c r="Q576" s="8">
        <f>IF(Q164=Q163,Q163,Q164+(Q164-Q163)*(Q163*0.15/Q165))</f>
        <v>0.82595156772858913</v>
      </c>
      <c r="R576" s="8">
        <f>IF(R164=R163,R163,R164+(R164-R163)*(R163*0.15/R165))</f>
        <v>0.50256296825421676</v>
      </c>
    </row>
    <row r="577" spans="17:18" x14ac:dyDescent="0.35">
      <c r="Q577" s="8">
        <f>AVERAGE(Q567:Q576)</f>
        <v>0.82713291964031144</v>
      </c>
      <c r="R577" s="8">
        <f>AVERAGE(R567:R576)</f>
        <v>0.50068964195347387</v>
      </c>
    </row>
    <row r="578" spans="17:18" x14ac:dyDescent="0.35">
      <c r="Q578" s="8">
        <f>_xlfn.STDEV.S(Q567:Q576)</f>
        <v>3.7358147974647271E-3</v>
      </c>
      <c r="R578" s="8">
        <f>_xlfn.STDEV.S(R567:R576)</f>
        <v>5.4600746994010064E-3</v>
      </c>
    </row>
    <row r="579" spans="17:18" x14ac:dyDescent="0.35">
      <c r="Q579" s="8">
        <f>IF(Q176=Q167,Q167,Q176+(Q176-Q167)*(Q167*0.15/Q177))</f>
        <v>-0.1341905895070723</v>
      </c>
      <c r="R579" s="8">
        <f>IF(R176=R167,R167,R176+(R176-R167)*(R167*0.15/R177))</f>
        <v>0.59457841961562896</v>
      </c>
    </row>
    <row r="580" spans="17:18" x14ac:dyDescent="0.35">
      <c r="Q580" s="8">
        <f>IF(Q176=Q168,Q168,Q176+(Q176-Q168)*(Q168*0.15/Q177))</f>
        <v>-0.12120076525824264</v>
      </c>
      <c r="R580" s="8">
        <f>IF(R176=R168,R168,R176+(R176-R168)*(R168*0.15/R177))</f>
        <v>0.58895056352664754</v>
      </c>
    </row>
    <row r="581" spans="17:18" x14ac:dyDescent="0.35">
      <c r="Q581" s="8">
        <f>IF(Q176=Q169,Q169,Q176+(Q176-Q169)*(Q169*0.15/Q177))</f>
        <v>-0.1341905895070723</v>
      </c>
      <c r="R581" s="8">
        <f>IF(R176=R169,R169,R176+(R176-R169)*(R169*0.15/R177))</f>
        <v>0.59080796675389513</v>
      </c>
    </row>
    <row r="582" spans="17:18" x14ac:dyDescent="0.35">
      <c r="Q582" s="8">
        <f>IF(Q176=Q170,Q170,Q176+(Q176-Q170)*(Q170*0.15/Q177))</f>
        <v>-0.12120076525824264</v>
      </c>
      <c r="R582" s="8">
        <f>IF(R176=R170,R170,R176+(R176-R170)*(R170*0.15/R177))</f>
        <v>0.58895056352664754</v>
      </c>
    </row>
    <row r="583" spans="17:18" x14ac:dyDescent="0.35">
      <c r="Q583" s="8">
        <f>IF(Q176=Q171,Q171,Q176+(Q176-Q171)*(Q171*0.15/Q177))</f>
        <v>0.26921763499817036</v>
      </c>
      <c r="R583" s="8">
        <f>IF(R176=R171,R171,R176+(R176-R171)*(R171*0.15/R177))</f>
        <v>0.58633798012147142</v>
      </c>
    </row>
    <row r="584" spans="17:18" x14ac:dyDescent="0.35">
      <c r="Q584" s="8">
        <f>IF(Q176=Q172,Q172,Q176+(Q176-Q172)*(Q172*0.15/Q177))</f>
        <v>0.2661673225234652</v>
      </c>
      <c r="R584" s="8">
        <f>IF(R176=R172,R172,R176+(R176-R172)*(R172*0.15/R177))</f>
        <v>0.5836366084269714</v>
      </c>
    </row>
    <row r="585" spans="17:18" x14ac:dyDescent="0.35">
      <c r="Q585" s="8">
        <f>IF(Q176=Q173,Q173,Q176+(Q176-Q173)*(Q173*0.15/Q177))</f>
        <v>-0.1341905895070723</v>
      </c>
      <c r="R585" s="8">
        <f>IF(R176=R173,R173,R176+(R176-R173)*(R173*0.15/R177))</f>
        <v>0.59457841961562896</v>
      </c>
    </row>
    <row r="586" spans="17:18" x14ac:dyDescent="0.35">
      <c r="Q586" s="8">
        <f>IF(Q176=Q174,Q174,Q176+(Q176-Q174)*(Q174*0.15/Q177))</f>
        <v>0.25808449130200589</v>
      </c>
      <c r="R586" s="8">
        <f>IF(R176=R174,R174,R176+(R176-R174)*(R174*0.15/R177))</f>
        <v>0.59323923859030669</v>
      </c>
    </row>
    <row r="587" spans="17:18" x14ac:dyDescent="0.35">
      <c r="Q587" s="8">
        <f>IF(Q176=Q175,Q175,Q176+(Q176-Q175)*(Q175*0.15/Q177))</f>
        <v>-0.1341905895070723</v>
      </c>
      <c r="R587" s="8">
        <f>IF(R176=R175,R175,R176+(R176-R175)*(R175*0.15/R177))</f>
        <v>0.59080796675389513</v>
      </c>
    </row>
    <row r="588" spans="17:18" x14ac:dyDescent="0.35">
      <c r="Q588" s="8">
        <f>AVERAGE(Q579:Q587)</f>
        <v>1.5895066976518866E-3</v>
      </c>
      <c r="R588" s="8">
        <f>AVERAGE(R579:R587)</f>
        <v>0.59020974743678811</v>
      </c>
    </row>
    <row r="589" spans="17:18" x14ac:dyDescent="0.35">
      <c r="Q589" s="8">
        <f>_xlfn.STDEV.S(Q579:Q587)</f>
        <v>0.19726750641180313</v>
      </c>
      <c r="R589" s="8">
        <f>_xlfn.STDEV.S(R579:R587)</f>
        <v>3.6985126975205519E-3</v>
      </c>
    </row>
    <row r="590" spans="17:18" x14ac:dyDescent="0.35">
      <c r="Q590" s="8">
        <f>IF(Q182=Q179,Q179,Q182+(Q182-Q179)*(Q179*0.15/Q183))</f>
        <v>0.84888886001593966</v>
      </c>
      <c r="R590" s="8">
        <f>IF(R182=R179,R179,R182+(R182-R179)*(R179*0.15/R183))</f>
        <v>0.5717520378253893</v>
      </c>
    </row>
    <row r="591" spans="17:18" x14ac:dyDescent="0.35">
      <c r="Q591" s="8">
        <f>IF(Q182=Q180,Q180,Q182+(Q182-Q180)*(Q180*0.15/Q183))</f>
        <v>0.83738122777383639</v>
      </c>
      <c r="R591" s="8">
        <f>IF(R182=R180,R180,R182+(R182-R180)*(R180*0.15/R183))</f>
        <v>0.56767350267777528</v>
      </c>
    </row>
    <row r="592" spans="17:18" x14ac:dyDescent="0.35">
      <c r="Q592" s="8">
        <f>IF(Q182=Q181,Q181,Q182+(Q182-Q181)*(Q181*0.15/Q183))</f>
        <v>0.81953799999999999</v>
      </c>
      <c r="R592" s="8">
        <f>IF(R182=R181,R181,R182+(R182-R181)*(R181*0.15/R183))</f>
        <v>0.56734985816346384</v>
      </c>
    </row>
    <row r="593" spans="17:18" x14ac:dyDescent="0.35">
      <c r="Q593" s="8">
        <f>AVERAGE(Q590:Q592)</f>
        <v>0.83526936259659201</v>
      </c>
      <c r="R593" s="8">
        <f>AVERAGE(R590:R592)</f>
        <v>0.56892513288887614</v>
      </c>
    </row>
    <row r="594" spans="17:18" x14ac:dyDescent="0.35">
      <c r="Q594" s="8">
        <f>_xlfn.STDEV.S(Q590:Q592)</f>
        <v>1.4788956244913453E-2</v>
      </c>
      <c r="R594" s="8">
        <f>_xlfn.STDEV.S(R590:R592)</f>
        <v>2.4535138236767371E-3</v>
      </c>
    </row>
    <row r="595" spans="17:18" x14ac:dyDescent="0.35">
      <c r="Q595" s="8">
        <f>IF(Q194=Q185,Q185,Q194+(Q194-Q185)*(Q185*0.15/Q195))</f>
        <v>0.81953856566296279</v>
      </c>
      <c r="R595" s="8">
        <f>IF(R194=R185,R185,R194+(R194-R185)*(R185*0.15/R195))</f>
        <v>0.58103217071793944</v>
      </c>
    </row>
    <row r="596" spans="17:18" x14ac:dyDescent="0.35">
      <c r="Q596" s="8">
        <f>IF(Q194=Q186,Q186,Q194+(Q194-Q186)*(Q186*0.15/Q195))</f>
        <v>0.81953849188087569</v>
      </c>
      <c r="R596" s="8">
        <f>IF(R194=R186,R186,R194+(R194-R186)*(R186*0.15/R195))</f>
        <v>0.57932715805971191</v>
      </c>
    </row>
    <row r="597" spans="17:18" x14ac:dyDescent="0.35">
      <c r="Q597" s="8">
        <f>IF(Q194=Q187,Q187,Q194+(Q194-Q187)*(Q187*0.15/Q195))</f>
        <v>0.81953849188087569</v>
      </c>
      <c r="R597" s="8">
        <f>IF(R194=R187,R187,R194+(R194-R187)*(R187*0.15/R195))</f>
        <v>0.57766473060453405</v>
      </c>
    </row>
    <row r="598" spans="17:18" x14ac:dyDescent="0.35">
      <c r="Q598" s="8">
        <f>IF(Q194=Q188,Q188,Q194+(Q194-Q188)*(Q188*0.15/Q195))</f>
        <v>0.81953849188087569</v>
      </c>
      <c r="R598" s="8">
        <f>IF(R194=R188,R188,R194+(R194-R188)*(R188*0.15/R195))</f>
        <v>0.57439314881942716</v>
      </c>
    </row>
    <row r="599" spans="17:18" x14ac:dyDescent="0.35">
      <c r="Q599" s="8">
        <f>IF(Q194=Q189,Q189,Q194+(Q194-Q189)*(Q189*0.15/Q195))</f>
        <v>0.81953849188087569</v>
      </c>
      <c r="R599" s="8">
        <f>IF(R194=R189,R189,R194+(R194-R189)*(R189*0.15/R195))</f>
        <v>0.57924054590724894</v>
      </c>
    </row>
    <row r="600" spans="17:18" x14ac:dyDescent="0.35">
      <c r="Q600" s="8">
        <f>IF(Q194=Q190,Q190,Q194+(Q194-Q190)*(Q190*0.15/Q195))</f>
        <v>0.81953849188087569</v>
      </c>
      <c r="R600" s="8">
        <f>IF(R194=R190,R190,R194+(R194-R190)*(R190*0.15/R195))</f>
        <v>0.56788659408302911</v>
      </c>
    </row>
    <row r="601" spans="17:18" x14ac:dyDescent="0.35">
      <c r="Q601" s="8">
        <f>IF(Q194=Q191,Q191,Q194+(Q194-Q191)*(Q191*0.15/Q195))</f>
        <v>0.81953849188087569</v>
      </c>
      <c r="R601" s="8">
        <f>IF(R194=R191,R191,R194+(R194-R191)*(R191*0.15/R195))</f>
        <v>0.57935782357099874</v>
      </c>
    </row>
    <row r="602" spans="17:18" x14ac:dyDescent="0.35">
      <c r="Q602" s="8">
        <f>IF(Q194=Q192,Q192,Q194+(Q194-Q192)*(Q192*0.15/Q195))</f>
        <v>0.81953849188087569</v>
      </c>
      <c r="R602" s="8">
        <f>IF(R194=R192,R192,R194+(R194-R192)*(R192*0.15/R195))</f>
        <v>0.57553855949300292</v>
      </c>
    </row>
    <row r="603" spans="17:18" x14ac:dyDescent="0.35">
      <c r="Q603" s="8">
        <f>IF(Q194=Q193,Q193,Q194+(Q194-Q193)*(Q193*0.15/Q195))</f>
        <v>0.81953849188087569</v>
      </c>
      <c r="R603" s="8">
        <f>IF(R194=R193,R193,R194+(R194-R193)*(R193*0.15/R195))</f>
        <v>0.57344265977464648</v>
      </c>
    </row>
    <row r="604" spans="17:18" x14ac:dyDescent="0.35">
      <c r="Q604" s="8">
        <f>AVERAGE(Q595:Q603)</f>
        <v>0.81953850007888518</v>
      </c>
      <c r="R604" s="8">
        <f>AVERAGE(R595:R603)</f>
        <v>0.57643148789228205</v>
      </c>
    </row>
    <row r="605" spans="17:18" x14ac:dyDescent="0.35">
      <c r="Q605" s="8">
        <f>_xlfn.STDEV.S(Q595:Q603)</f>
        <v>2.459402903554065E-8</v>
      </c>
      <c r="R605" s="8">
        <f>_xlfn.STDEV.S(R595:R603)</f>
        <v>4.0991885513246588E-3</v>
      </c>
    </row>
    <row r="606" spans="17:18" x14ac:dyDescent="0.35">
      <c r="Q606" s="8">
        <f>IF(Q209=Q197,Q197,Q209+(Q209-Q197)*(Q197*0.15/Q210))</f>
        <v>0.76659975258833946</v>
      </c>
      <c r="R606" s="8">
        <f>IF(R209=R197,R197,R209+(R209-R197)*(R197*0.15/R210))</f>
        <v>0.5363563980814583</v>
      </c>
    </row>
    <row r="607" spans="17:18" x14ac:dyDescent="0.35">
      <c r="Q607" s="8">
        <f>IF(Q209=Q198,Q198,Q209+(Q209-Q198)*(Q198*0.15/Q210))</f>
        <v>0.86342257256954769</v>
      </c>
      <c r="R607" s="8">
        <f>IF(R209=R198,R198,R209+(R209-R198)*(R198*0.15/R210))</f>
        <v>0.64190121361896779</v>
      </c>
    </row>
    <row r="608" spans="17:18" x14ac:dyDescent="0.35">
      <c r="Q608" s="8">
        <f>IF(Q209=Q199,Q199,Q209+(Q209-Q199)*(Q199*0.15/Q210))</f>
        <v>0.83116214750580697</v>
      </c>
      <c r="R608" s="8">
        <f>IF(R209=R199,R199,R209+(R209-R199)*(R199*0.15/R210))</f>
        <v>0.59930872451380923</v>
      </c>
    </row>
    <row r="609" spans="17:18" x14ac:dyDescent="0.35">
      <c r="Q609" s="8">
        <f>IF(Q209=Q200,Q200,Q209+(Q209-Q200)*(Q200*0.15/Q210))</f>
        <v>0.74596610938826202</v>
      </c>
      <c r="R609" s="8">
        <f>IF(R209=R200,R200,R209+(R209-R200)*(R200*0.15/R210))</f>
        <v>0.53318995263867097</v>
      </c>
    </row>
    <row r="610" spans="17:18" x14ac:dyDescent="0.35">
      <c r="Q610" s="8">
        <f>IF(Q209=Q201,Q201,Q209+(Q209-Q201)*(Q201*0.15/Q210))</f>
        <v>0.74596610938826202</v>
      </c>
      <c r="R610" s="8">
        <f>IF(R209=R201,R201,R209+(R209-R201)*(R201*0.15/R210))</f>
        <v>0.4438062968531879</v>
      </c>
    </row>
    <row r="611" spans="17:18" x14ac:dyDescent="0.35">
      <c r="Q611" s="8">
        <f>IF(Q209=Q202,Q202,Q209+(Q209-Q202)*(Q202*0.15/Q210))</f>
        <v>0.92231580813624237</v>
      </c>
      <c r="R611" s="8">
        <f>IF(R209=R202,R202,R209+(R209-R202)*(R202*0.15/R210))</f>
        <v>0.70834540695159665</v>
      </c>
    </row>
    <row r="612" spans="17:18" x14ac:dyDescent="0.35">
      <c r="Q612" s="8">
        <f>IF(Q209=Q203,Q203,Q209+(Q209-Q203)*(Q203*0.15/Q210))</f>
        <v>0.74596610938826202</v>
      </c>
      <c r="R612" s="8">
        <f>IF(R209=R203,R203,R209+(R209-R203)*(R203*0.15/R210))</f>
        <v>0.54600075184959684</v>
      </c>
    </row>
    <row r="613" spans="17:18" x14ac:dyDescent="0.35">
      <c r="Q613" s="8">
        <f>IF(Q209=Q204,Q204,Q209+(Q209-Q204)*(Q204*0.15/Q210))</f>
        <v>0.74596610938826202</v>
      </c>
      <c r="R613" s="8">
        <f>IF(R209=R204,R204,R209+(R209-R204)*(R204*0.15/R210))</f>
        <v>0.52324658099489307</v>
      </c>
    </row>
    <row r="614" spans="17:18" x14ac:dyDescent="0.35">
      <c r="Q614" s="8">
        <f>IF(Q209=Q205,Q205,Q209+(Q209-Q205)*(Q205*0.15/Q210))</f>
        <v>0.74596610938826202</v>
      </c>
      <c r="R614" s="8">
        <f>IF(R209=R205,R205,R209+(R209-R205)*(R205*0.15/R210))</f>
        <v>0.52632988641431366</v>
      </c>
    </row>
    <row r="615" spans="17:18" x14ac:dyDescent="0.35">
      <c r="Q615" s="8">
        <f>IF(Q209=Q206,Q206,Q209+(Q209-Q206)*(Q206*0.15/Q210))</f>
        <v>0.74596610938826202</v>
      </c>
      <c r="R615" s="8">
        <f>IF(R209=R206,R206,R209+(R209-R206)*(R206*0.15/R210))</f>
        <v>0.54032874136870812</v>
      </c>
    </row>
    <row r="616" spans="17:18" x14ac:dyDescent="0.35">
      <c r="Q616" s="8">
        <f>IF(Q209=Q207,Q207,Q209+(Q209-Q207)*(Q207*0.15/Q210))</f>
        <v>0.74596610938826202</v>
      </c>
      <c r="R616" s="8">
        <f>IF(R209=R207,R207,R209+(R209-R207)*(R207*0.15/R210))</f>
        <v>0.52996395031711707</v>
      </c>
    </row>
    <row r="617" spans="17:18" x14ac:dyDescent="0.35">
      <c r="Q617" s="8">
        <f>IF(Q209=Q208,Q208,Q209+(Q209-Q208)*(Q208*0.15/Q210))</f>
        <v>1.0590088378043934</v>
      </c>
      <c r="R617" s="8">
        <f>IF(R209=R208,R208,R209+(R209-R208)*(R208*0.15/R210))</f>
        <v>0.65022955182209852</v>
      </c>
    </row>
    <row r="618" spans="17:18" x14ac:dyDescent="0.35">
      <c r="Q618" s="8">
        <f>AVERAGE(Q606:Q617)</f>
        <v>0.80535599036018046</v>
      </c>
      <c r="R618" s="8">
        <f>AVERAGE(R606:R617)</f>
        <v>0.56491728795203489</v>
      </c>
    </row>
    <row r="619" spans="17:18" x14ac:dyDescent="0.35">
      <c r="Q619" s="8">
        <f>_xlfn.STDEV.S(Q606:Q617)</f>
        <v>9.9200991291833185E-2</v>
      </c>
      <c r="R619" s="8">
        <f>_xlfn.STDEV.S(R606:R617)</f>
        <v>7.189571169172064E-2</v>
      </c>
    </row>
    <row r="620" spans="17:18" x14ac:dyDescent="0.35">
      <c r="Q620" s="8" t="e">
        <f>IF(Q217=Q212,Q212,Q217+(Q217-Q212)*(Q212*0.15/Q218))</f>
        <v>#DIV/0!</v>
      </c>
      <c r="R620" s="8">
        <f>IF(R217=R212,R212,R217+(R217-R212)*(R212*0.15/R218))</f>
        <v>-2.6931438224379893</v>
      </c>
    </row>
    <row r="621" spans="17:18" x14ac:dyDescent="0.35">
      <c r="Q621" s="8" t="e">
        <f>IF(Q217=Q213,Q213,Q217+(Q217-Q213)*(Q213*0.15/Q218))</f>
        <v>#DIV/0!</v>
      </c>
      <c r="R621" s="8">
        <f>IF(R217=R213,R213,R217+(R217-R213)*(R213*0.15/R218))</f>
        <v>-3.0110957124363162</v>
      </c>
    </row>
    <row r="622" spans="17:18" x14ac:dyDescent="0.35">
      <c r="Q622" s="8" t="e">
        <f>IF(Q217=Q214,Q214,Q217+(Q217-Q214)*(Q214*0.15/Q218))</f>
        <v>#DIV/0!</v>
      </c>
      <c r="R622" s="8">
        <f>IF(R217=R214,R214,R217+(R217-R214)*(R214*0.15/R218))</f>
        <v>-2.192716116495804</v>
      </c>
    </row>
    <row r="623" spans="17:18" x14ac:dyDescent="0.35">
      <c r="Q623" s="8" t="e">
        <f>IF(Q217=Q215,Q215,Q217+(Q217-Q215)*(Q215*0.15/Q218))</f>
        <v>#DIV/0!</v>
      </c>
      <c r="R623" s="8">
        <f>IF(R217=R215,R215,R217+(R217-R215)*(R215*0.15/R218))</f>
        <v>-2.3365981203820829</v>
      </c>
    </row>
    <row r="624" spans="17:18" x14ac:dyDescent="0.35">
      <c r="Q624" s="8" t="e">
        <f>IF(Q217=Q216,Q216,Q217+(Q217-Q216)*(Q216*0.15/Q218))</f>
        <v>#DIV/0!</v>
      </c>
      <c r="R624" s="8">
        <f>IF(R217=R216,R216,R217+(R217-R216)*(R216*0.15/R218))</f>
        <v>-2.5487343325009326</v>
      </c>
    </row>
    <row r="625" spans="17:18" x14ac:dyDescent="0.35">
      <c r="Q625" s="8" t="e">
        <f>AVERAGE(Q620:Q624)</f>
        <v>#DIV/0!</v>
      </c>
      <c r="R625" s="8">
        <f>AVERAGE(R620:R624)</f>
        <v>-2.5564576208506251</v>
      </c>
    </row>
    <row r="626" spans="17:18" x14ac:dyDescent="0.35">
      <c r="Q626" s="8" t="e">
        <f>_xlfn.STDEV.S(Q620:Q624)</f>
        <v>#DIV/0!</v>
      </c>
      <c r="R626" s="8">
        <f>_xlfn.STDEV.S(R620:R624)</f>
        <v>0.31862385470354143</v>
      </c>
    </row>
    <row r="627" spans="17:18" x14ac:dyDescent="0.35">
      <c r="Q627" s="8">
        <f>IF(Q229=Q220,Q220,Q229+(Q229-Q220)*(Q220*0.15/Q230))</f>
        <v>0.8247116968698518</v>
      </c>
      <c r="R627" s="8">
        <f>IF(R229=R220,R220,R229+(R229-R220)*(R220*0.15/R230))</f>
        <v>0.55787187103107405</v>
      </c>
    </row>
    <row r="628" spans="17:18" x14ac:dyDescent="0.35">
      <c r="Q628" s="8">
        <f>IF(Q229=Q221,Q221,Q229+(Q229-Q221)*(Q221*0.15/Q230))</f>
        <v>0.8247116968698518</v>
      </c>
      <c r="R628" s="8">
        <f>IF(R229=R221,R221,R229+(R229-R221)*(R221*0.15/R230))</f>
        <v>0.56220410623187489</v>
      </c>
    </row>
    <row r="629" spans="17:18" x14ac:dyDescent="0.35">
      <c r="Q629" s="8">
        <f>IF(Q229=Q222,Q222,Q229+(Q229-Q222)*(Q222*0.15/Q230))</f>
        <v>0.8247116968698518</v>
      </c>
      <c r="R629" s="8">
        <f>IF(R229=R222,R222,R229+(R229-R222)*(R222*0.15/R230))</f>
        <v>0.56123651829702959</v>
      </c>
    </row>
    <row r="630" spans="17:18" x14ac:dyDescent="0.35">
      <c r="Q630" s="8">
        <f>IF(Q229=Q223,Q223,Q229+(Q229-Q223)*(Q223*0.15/Q230))</f>
        <v>0.8247116968698518</v>
      </c>
      <c r="R630" s="8">
        <f>IF(R229=R223,R223,R229+(R229-R223)*(R223*0.15/R230))</f>
        <v>0.56076004296282678</v>
      </c>
    </row>
    <row r="631" spans="17:18" x14ac:dyDescent="0.35">
      <c r="Q631" s="8">
        <f>IF(Q229=Q224,Q224,Q229+(Q229-Q224)*(Q224*0.15/Q230))</f>
        <v>0.8247116968698518</v>
      </c>
      <c r="R631" s="8">
        <f>IF(R229=R224,R224,R229+(R229-R224)*(R224*0.15/R230))</f>
        <v>0.55650555383483646</v>
      </c>
    </row>
    <row r="632" spans="17:18" x14ac:dyDescent="0.35">
      <c r="Q632" s="8">
        <f>IF(Q229=Q225,Q225,Q229+(Q229-Q225)*(Q225*0.15/Q230))</f>
        <v>0.82471169686985168</v>
      </c>
      <c r="R632" s="8">
        <f>IF(R229=R225,R225,R229+(R229-R225)*(R225*0.15/R230))</f>
        <v>0.55769264405570629</v>
      </c>
    </row>
    <row r="633" spans="17:18" x14ac:dyDescent="0.35">
      <c r="Q633" s="8">
        <f>IF(Q229=Q226,Q226,Q229+(Q229-Q226)*(Q226*0.15/Q230))</f>
        <v>0.8247116968698518</v>
      </c>
      <c r="R633" s="8">
        <f>IF(R229=R226,R226,R229+(R229-R226)*(R226*0.15/R230))</f>
        <v>0.56569233961931908</v>
      </c>
    </row>
    <row r="634" spans="17:18" x14ac:dyDescent="0.35">
      <c r="Q634" s="8">
        <f>IF(Q229=Q227,Q227,Q229+(Q229-Q227)*(Q227*0.15/Q230))</f>
        <v>0.8247116968698518</v>
      </c>
      <c r="R634" s="8">
        <f>IF(R229=R227,R227,R229+(R229-R227)*(R227*0.15/R230))</f>
        <v>0.56305193149150246</v>
      </c>
    </row>
    <row r="635" spans="17:18" x14ac:dyDescent="0.35">
      <c r="Q635" s="8">
        <f>IF(Q229=Q228,Q228,Q229+(Q229-Q228)*(Q228*0.15/Q230))</f>
        <v>0.8247116968698518</v>
      </c>
      <c r="R635" s="8">
        <f>IF(R229=R228,R228,R229+(R229-R228)*(R228*0.15/R230))</f>
        <v>0.56123651829702959</v>
      </c>
    </row>
    <row r="636" spans="17:18" x14ac:dyDescent="0.35">
      <c r="Q636" s="8">
        <f>AVERAGE(Q627:Q635)</f>
        <v>0.82471169686985157</v>
      </c>
      <c r="R636" s="8">
        <f>AVERAGE(R627:R635)</f>
        <v>0.56069461398013321</v>
      </c>
    </row>
    <row r="637" spans="17:18" x14ac:dyDescent="0.35">
      <c r="Q637" s="8">
        <f>_xlfn.STDEV.S(Q627:Q635)</f>
        <v>2.2548736224414669E-16</v>
      </c>
      <c r="R637" s="8">
        <f>_xlfn.STDEV.S(R627:R635)</f>
        <v>2.9140243196846961E-3</v>
      </c>
    </row>
    <row r="638" spans="17:18" x14ac:dyDescent="0.35">
      <c r="Q638" s="8">
        <f>IF(Q237=Q232,Q232,Q237+(Q237-Q232)*(Q232*0.15/Q238))</f>
        <v>0.81204204967460392</v>
      </c>
      <c r="R638" s="8">
        <f>IF(R237=R232,R232,R237+(R237-R232)*(R232*0.15/R238))</f>
        <v>0.44927803577666986</v>
      </c>
    </row>
    <row r="639" spans="17:18" x14ac:dyDescent="0.35">
      <c r="Q639" s="8">
        <f>IF(Q237=Q233,Q233,Q237+(Q237-Q233)*(Q233*0.15/Q238))</f>
        <v>0.81204204967460403</v>
      </c>
      <c r="R639" s="8">
        <f>IF(R237=R233,R233,R237+(R237-R233)*(R233*0.15/R238))</f>
        <v>0.45181569029897145</v>
      </c>
    </row>
    <row r="640" spans="17:18" x14ac:dyDescent="0.35">
      <c r="Q640" s="8">
        <f>IF(Q237=Q234,Q234,Q237+(Q237-Q234)*(Q234*0.15/Q238))</f>
        <v>0.81371400000000005</v>
      </c>
      <c r="R640" s="8">
        <f>IF(R237=R234,R234,R237+(R237-R234)*(R234*0.15/R238))</f>
        <v>0.4693585612968858</v>
      </c>
    </row>
    <row r="641" spans="17:18" x14ac:dyDescent="0.35">
      <c r="Q641" s="8">
        <f>IF(Q237=Q235,Q235,Q237+(Q237-Q235)*(Q235*0.15/Q238))</f>
        <v>0.81371400000000005</v>
      </c>
      <c r="R641" s="8">
        <f>IF(R237=R235,R235,R237+(R237-R235)*(R235*0.15/R238))</f>
        <v>0.46823479243554139</v>
      </c>
    </row>
    <row r="642" spans="17:18" x14ac:dyDescent="0.35">
      <c r="Q642" s="8">
        <f>IF(Q237=Q236,Q236,Q237+(Q237-Q236)*(Q236*0.15/Q238))</f>
        <v>0.81372314931407108</v>
      </c>
      <c r="R642" s="8">
        <f>IF(R237=R236,R236,R237+(R237-R236)*(R236*0.15/R238))</f>
        <v>0.46040686978751105</v>
      </c>
    </row>
    <row r="643" spans="17:18" x14ac:dyDescent="0.35">
      <c r="Q643" s="8">
        <f>AVERAGE(Q638:Q642)</f>
        <v>0.81304704973265574</v>
      </c>
      <c r="R643" s="8">
        <f>AVERAGE(R638:R642)</f>
        <v>0.4598187899191159</v>
      </c>
    </row>
    <row r="644" spans="17:18" x14ac:dyDescent="0.35">
      <c r="Q644" s="8">
        <f>_xlfn.STDEV.S(Q638:Q642)</f>
        <v>9.174429404027538E-4</v>
      </c>
      <c r="R644" s="8">
        <f>_xlfn.STDEV.S(R638:R642)</f>
        <v>9.1833990936044385E-3</v>
      </c>
    </row>
    <row r="645" spans="17:18" x14ac:dyDescent="0.35">
      <c r="Q645" s="8">
        <f>IF(Q249=Q240,Q240,Q249+(Q249-Q240)*(Q240*0.15/Q250))</f>
        <v>-1.9673081612102412</v>
      </c>
      <c r="R645" s="8">
        <f>IF(R249=R240,R240,R249+(R249-R240)*(R240*0.15/R250))</f>
        <v>-1.3822810711533704</v>
      </c>
    </row>
    <row r="646" spans="17:18" x14ac:dyDescent="0.35">
      <c r="Q646" s="8">
        <f>IF(Q249=Q241,Q241,Q249+(Q249-Q241)*(Q241*0.15/Q250))</f>
        <v>-1.9337645693271042</v>
      </c>
      <c r="R646" s="8">
        <f>IF(R249=R241,R241,R249+(R249-R241)*(R241*0.15/R250))</f>
        <v>-1.4135331804114468</v>
      </c>
    </row>
    <row r="647" spans="17:18" x14ac:dyDescent="0.35">
      <c r="Q647" s="8">
        <f>IF(Q249=Q242,Q242,Q249+(Q249-Q242)*(Q242*0.15/Q250))</f>
        <v>-2.1198580387367825</v>
      </c>
      <c r="R647" s="8">
        <f>IF(R249=R242,R242,R249+(R249-R242)*(R242*0.15/R250))</f>
        <v>-1.386277197554576</v>
      </c>
    </row>
    <row r="648" spans="17:18" x14ac:dyDescent="0.35">
      <c r="Q648" s="8">
        <f>IF(Q249=Q243,Q243,Q249+(Q249-Q243)*(Q243*0.15/Q250))</f>
        <v>9.2179068401038677E-2</v>
      </c>
      <c r="R648" s="8">
        <f>IF(R249=R243,R243,R249+(R249-R243)*(R243*0.15/R250))</f>
        <v>5.1634982069815358E-2</v>
      </c>
    </row>
    <row r="649" spans="17:18" x14ac:dyDescent="0.35">
      <c r="Q649" s="8">
        <f>IF(Q249=Q244,Q244,Q249+(Q249-Q244)*(Q244*0.15/Q250))</f>
        <v>8.955875300979696E-2</v>
      </c>
      <c r="R649" s="8">
        <f>IF(R249=R244,R244,R249+(R249-R244)*(R244*0.15/R250))</f>
        <v>5.4187138110564047E-2</v>
      </c>
    </row>
    <row r="650" spans="17:18" x14ac:dyDescent="0.35">
      <c r="Q650" s="8">
        <f>IF(Q249=Q245,Q245,Q249+(Q249-Q245)*(Q245*0.15/Q250))</f>
        <v>-2.2067919760860897</v>
      </c>
      <c r="R650" s="8">
        <f>IF(R249=R245,R245,R249+(R249-R245)*(R245*0.15/R250))</f>
        <v>-1.6479613208308981</v>
      </c>
    </row>
    <row r="651" spans="17:18" x14ac:dyDescent="0.35">
      <c r="Q651" s="8">
        <f>IF(Q249=Q246,Q246,Q249+(Q249-Q246)*(Q246*0.15/Q250))</f>
        <v>-1.2950174646910562</v>
      </c>
      <c r="R651" s="8">
        <f>IF(R249=R246,R246,R249+(R249-R246)*(R246*0.15/R250))</f>
        <v>-1.0394782750646159</v>
      </c>
    </row>
    <row r="652" spans="17:18" x14ac:dyDescent="0.35">
      <c r="Q652" s="8">
        <f>IF(Q249=Q247,Q247,Q249+(Q249-Q247)*(Q247*0.15/Q250))</f>
        <v>-1.8183371932720482</v>
      </c>
      <c r="R652" s="8">
        <f>IF(R249=R247,R247,R249+(R249-R247)*(R247*0.15/R250))</f>
        <v>-1.3599698924789207</v>
      </c>
    </row>
    <row r="653" spans="17:18" x14ac:dyDescent="0.35">
      <c r="Q653" s="8">
        <f>IF(Q249=Q248,Q248,Q249+(Q249-Q248)*(Q248*0.15/Q250))</f>
        <v>-1.7540338215983127</v>
      </c>
      <c r="R653" s="8">
        <f>IF(R249=R248,R248,R249+(R249-R248)*(R248*0.15/R250))</f>
        <v>-1.3379247291373944</v>
      </c>
    </row>
    <row r="654" spans="17:18" x14ac:dyDescent="0.35">
      <c r="Q654" s="8">
        <f>AVERAGE(Q645:Q653)</f>
        <v>-1.4348192670567554</v>
      </c>
      <c r="R654" s="8">
        <f>AVERAGE(R645:R653)</f>
        <v>-1.0512892829389826</v>
      </c>
    </row>
    <row r="655" spans="17:18" x14ac:dyDescent="0.35">
      <c r="Q655" s="8">
        <f>_xlfn.STDEV.S(Q645:Q653)</f>
        <v>0.90289060517475295</v>
      </c>
      <c r="R655" s="8">
        <f>_xlfn.STDEV.S(R645:R653)</f>
        <v>0.64470087815339039</v>
      </c>
    </row>
    <row r="656" spans="17:18" x14ac:dyDescent="0.35">
      <c r="Q656" s="8">
        <f>IF(Q261=Q252,Q252,Q261+(Q261-Q252)*(Q252*0.15/Q262))</f>
        <v>0.85479248956217002</v>
      </c>
      <c r="R656" s="8">
        <f>IF(R261=R252,R252,R261+(R261-R252)*(R252*0.15/R262))</f>
        <v>0.63198721033072502</v>
      </c>
    </row>
    <row r="657" spans="17:18" x14ac:dyDescent="0.35">
      <c r="Q657" s="8">
        <f>IF(Q261=Q253,Q253,Q261+(Q261-Q253)*(Q253*0.15/Q262))</f>
        <v>0.84407955684034519</v>
      </c>
      <c r="R657" s="8">
        <f>IF(R261=R253,R253,R261+(R261-R253)*(R253*0.15/R262))</f>
        <v>0.62758490482087015</v>
      </c>
    </row>
    <row r="658" spans="17:18" x14ac:dyDescent="0.35">
      <c r="Q658" s="8">
        <f>IF(Q261=Q254,Q254,Q261+(Q261-Q254)*(Q254*0.15/Q262))</f>
        <v>0.85222251548809469</v>
      </c>
      <c r="R658" s="8">
        <f>IF(R261=R254,R254,R261+(R261-R254)*(R254*0.15/R262))</f>
        <v>0.63107572605253048</v>
      </c>
    </row>
    <row r="659" spans="17:18" x14ac:dyDescent="0.35">
      <c r="Q659" s="8">
        <f>IF(Q261=Q255,Q255,Q261+(Q261-Q255)*(Q255*0.15/Q262))</f>
        <v>0.85282740095545317</v>
      </c>
      <c r="R659" s="8">
        <f>IF(R261=R255,R255,R261+(R261-R255)*(R255*0.15/R262))</f>
        <v>0.63514155396559513</v>
      </c>
    </row>
    <row r="660" spans="17:18" x14ac:dyDescent="0.35">
      <c r="Q660" s="8">
        <f>IF(Q261=Q256,Q256,Q261+(Q261-Q256)*(Q256*0.15/Q262))</f>
        <v>0.84229485086439249</v>
      </c>
      <c r="R660" s="8">
        <f>IF(R261=R256,R256,R261+(R261-R256)*(R256*0.15/R262))</f>
        <v>0.61731083170340417</v>
      </c>
    </row>
    <row r="661" spans="17:18" x14ac:dyDescent="0.35">
      <c r="Q661" s="8">
        <f>IF(Q261=Q257,Q257,Q261+(Q261-Q257)*(Q257*0.15/Q262))</f>
        <v>0.8475495701933905</v>
      </c>
      <c r="R661" s="8">
        <f>IF(R261=R257,R257,R261+(R261-R257)*(R257*0.15/R262))</f>
        <v>0.62889211903237519</v>
      </c>
    </row>
    <row r="662" spans="17:18" x14ac:dyDescent="0.35">
      <c r="Q662" s="8">
        <f>IF(Q261=Q258,Q258,Q261+(Q261-Q258)*(Q258*0.15/Q262))</f>
        <v>0.84164923765908783</v>
      </c>
      <c r="R662" s="8">
        <f>IF(R261=R258,R258,R261+(R261-R258)*(R258*0.15/R262))</f>
        <v>0.62204455667677483</v>
      </c>
    </row>
    <row r="663" spans="17:18" x14ac:dyDescent="0.35">
      <c r="Q663" s="8">
        <f>IF(Q261=Q259,Q259,Q261+(Q261-Q259)*(Q259*0.15/Q262))</f>
        <v>0.83657427463607792</v>
      </c>
      <c r="R663" s="8">
        <f>IF(R261=R259,R259,R261+(R261-R259)*(R259*0.15/R262))</f>
        <v>0.61657414920723697</v>
      </c>
    </row>
    <row r="664" spans="17:18" x14ac:dyDescent="0.35">
      <c r="Q664" s="8">
        <f>IF(Q261=Q260,Q260,Q261+(Q261-Q260)*(Q260*0.15/Q262))</f>
        <v>0.84068617747383678</v>
      </c>
      <c r="R664" s="8">
        <f>IF(R261=R260,R260,R261+(R261-R260)*(R260*0.15/R262))</f>
        <v>0.6232037888399623</v>
      </c>
    </row>
    <row r="665" spans="17:18" x14ac:dyDescent="0.35">
      <c r="Q665" s="8">
        <f>AVERAGE(Q656:Q664)</f>
        <v>0.84585289707476086</v>
      </c>
      <c r="R665" s="8">
        <f>AVERAGE(R656:R664)</f>
        <v>0.62597942673660834</v>
      </c>
    </row>
    <row r="666" spans="17:18" x14ac:dyDescent="0.35">
      <c r="Q666" s="8">
        <f>_xlfn.STDEV.S(Q656:Q664)</f>
        <v>6.3074733781145536E-3</v>
      </c>
      <c r="R666" s="8">
        <f>_xlfn.STDEV.S(R656:R664)</f>
        <v>6.556130675324753E-3</v>
      </c>
    </row>
    <row r="667" spans="17:18" x14ac:dyDescent="0.35">
      <c r="Q667" s="8">
        <f>IF(Q270=Q264,Q264,Q270+(Q270-Q264)*(Q264*0.15/Q271))</f>
        <v>0.76418209025178907</v>
      </c>
      <c r="R667" s="8">
        <f>IF(R270=R264,R264,R270+(R270-R264)*(R264*0.15/R271))</f>
        <v>0.76128936582655982</v>
      </c>
    </row>
    <row r="668" spans="17:18" x14ac:dyDescent="0.35">
      <c r="Q668" s="8">
        <f>IF(Q270=Q265,Q265,Q270+(Q270-Q265)*(Q265*0.15/Q271))</f>
        <v>0.76203521285673537</v>
      </c>
      <c r="R668" s="8">
        <f>IF(R270=R265,R265,R270+(R270-R265)*(R265*0.15/R271))</f>
        <v>0.75776872326836286</v>
      </c>
    </row>
    <row r="669" spans="17:18" x14ac:dyDescent="0.35">
      <c r="Q669" s="8">
        <f>IF(Q270=Q266,Q266,Q270+(Q270-Q266)*(Q266*0.15/Q271))</f>
        <v>0.76133189502989251</v>
      </c>
      <c r="R669" s="8">
        <f>IF(R270=R266,R266,R270+(R270-R266)*(R266*0.15/R271))</f>
        <v>0.7703392348704623</v>
      </c>
    </row>
    <row r="670" spans="17:18" x14ac:dyDescent="0.35">
      <c r="Q670" s="8">
        <f>IF(Q270=Q267,Q267,Q270+(Q270-Q267)*(Q267*0.15/Q271))</f>
        <v>0.76101128473416746</v>
      </c>
      <c r="R670" s="8">
        <f>IF(R270=R267,R267,R270+(R270-R267)*(R267*0.15/R271))</f>
        <v>0.75528213280427647</v>
      </c>
    </row>
    <row r="671" spans="17:18" x14ac:dyDescent="0.35">
      <c r="Q671" s="8">
        <f>IF(Q270=Q268,Q268,Q270+(Q270-Q268)*(Q268*0.15/Q271))</f>
        <v>0.74944386823599707</v>
      </c>
      <c r="R671" s="8">
        <f>IF(R270=R268,R268,R270+(R270-R268)*(R268*0.15/R271))</f>
        <v>0.76481357602554645</v>
      </c>
    </row>
    <row r="672" spans="17:18" x14ac:dyDescent="0.35">
      <c r="Q672" s="8">
        <f>IF(Q270=Q269,Q269,Q270+(Q270-Q269)*(Q269*0.15/Q271))</f>
        <v>0.76099105118239263</v>
      </c>
      <c r="R672" s="8">
        <f>IF(R270=R269,R269,R270+(R270-R269)*(R269*0.15/R271))</f>
        <v>0.77738939135407692</v>
      </c>
    </row>
    <row r="673" spans="17:18" x14ac:dyDescent="0.35">
      <c r="Q673" s="8">
        <f>AVERAGE(Q667:Q672)</f>
        <v>0.75983256704849567</v>
      </c>
      <c r="R673" s="8">
        <f>AVERAGE(R667:R672)</f>
        <v>0.76448040402488082</v>
      </c>
    </row>
    <row r="674" spans="17:18" x14ac:dyDescent="0.35">
      <c r="Q674" s="8">
        <f>_xlfn.STDEV.S(Q667:Q672)</f>
        <v>5.2282790464197567E-3</v>
      </c>
      <c r="R674" s="8">
        <f>_xlfn.STDEV.S(R667:R672)</f>
        <v>8.2573171567145876E-3</v>
      </c>
    </row>
    <row r="675" spans="17:18" x14ac:dyDescent="0.35">
      <c r="Q675" s="8">
        <f>IF(Q278=Q273,Q273,Q278+(Q278-Q273)*(Q273*0.15/Q279))</f>
        <v>0.85070524844234763</v>
      </c>
      <c r="R675" s="8">
        <f>IF(R278=R273,R273,R278+(R278-R273)*(R273*0.15/R279))</f>
        <v>0.58003001575672397</v>
      </c>
    </row>
    <row r="676" spans="17:18" x14ac:dyDescent="0.35">
      <c r="Q676" s="8">
        <f>IF(Q278=Q274,Q274,Q278+(Q278-Q274)*(Q274*0.15/Q279))</f>
        <v>0.84819918309471054</v>
      </c>
      <c r="R676" s="8">
        <f>IF(R278=R274,R274,R278+(R278-R274)*(R274*0.15/R279))</f>
        <v>0.56803863095747831</v>
      </c>
    </row>
    <row r="677" spans="17:18" x14ac:dyDescent="0.35">
      <c r="Q677" s="8">
        <f>IF(Q278=Q275,Q275,Q278+(Q278-Q275)*(Q275*0.15/Q279))</f>
        <v>0.84183365488254103</v>
      </c>
      <c r="R677" s="8">
        <f>IF(R278=R275,R275,R278+(R278-R275)*(R275*0.15/R279))</f>
        <v>0.56246597285425781</v>
      </c>
    </row>
    <row r="678" spans="17:18" x14ac:dyDescent="0.35">
      <c r="Q678" s="8">
        <f>IF(Q278=Q276,Q276,Q278+(Q278-Q276)*(Q276*0.15/Q279))</f>
        <v>0.83998776567801481</v>
      </c>
      <c r="R678" s="8">
        <f>IF(R278=R276,R276,R278+(R278-R276)*(R276*0.15/R279))</f>
        <v>0.58618027731261169</v>
      </c>
    </row>
    <row r="679" spans="17:18" x14ac:dyDescent="0.35">
      <c r="Q679" s="8">
        <f>IF(Q278=Q277,Q277,Q278+(Q278-Q277)*(Q277*0.15/Q279))</f>
        <v>0.84212949717528907</v>
      </c>
      <c r="R679" s="8">
        <f>IF(R278=R277,R277,R278+(R278-R277)*(R277*0.15/R279))</f>
        <v>0.59053695228875724</v>
      </c>
    </row>
    <row r="680" spans="17:18" x14ac:dyDescent="0.35">
      <c r="Q680" s="8">
        <f>AVERAGE(Q675:Q679)</f>
        <v>0.84457106985458064</v>
      </c>
      <c r="R680" s="8">
        <f>AVERAGE(R675:R679)</f>
        <v>0.5774503698339658</v>
      </c>
    </row>
    <row r="681" spans="17:18" x14ac:dyDescent="0.35">
      <c r="Q681" s="8">
        <f>_xlfn.STDEV.S(Q675:Q679)</f>
        <v>4.6166207252210014E-3</v>
      </c>
      <c r="R681" s="8">
        <f>_xlfn.STDEV.S(R675:R679)</f>
        <v>1.1908373939619585E-2</v>
      </c>
    </row>
    <row r="682" spans="17:18" x14ac:dyDescent="0.35">
      <c r="Q682" s="8">
        <f>IF(Q284=Q281,Q281,Q284+(Q284-Q281)*(Q281*0.15/Q285))</f>
        <v>0.83990685158435907</v>
      </c>
      <c r="R682" s="8">
        <f>IF(R284=R281,R281,R284+(R284-R281)*(R281*0.15/R285))</f>
        <v>0.56578430584568884</v>
      </c>
    </row>
    <row r="683" spans="17:18" x14ac:dyDescent="0.35">
      <c r="Q683" s="8">
        <f>IF(Q284=Q282,Q282,Q284+(Q284-Q282)*(Q282*0.15/Q285))</f>
        <v>0.84848543670426546</v>
      </c>
      <c r="R683" s="8">
        <f>IF(R284=R282,R282,R284+(R284-R282)*(R282*0.15/R285))</f>
        <v>0.53905823985736223</v>
      </c>
    </row>
    <row r="684" spans="17:18" x14ac:dyDescent="0.35">
      <c r="Q684" s="8">
        <f>IF(Q284=Q283,Q283,Q284+(Q284-Q283)*(Q283*0.15/Q285))</f>
        <v>0.83209326849844745</v>
      </c>
      <c r="R684" s="8">
        <f>IF(R284=R283,R283,R284+(R284-R283)*(R283*0.15/R285))</f>
        <v>0.56852689527280864</v>
      </c>
    </row>
    <row r="685" spans="17:18" x14ac:dyDescent="0.35">
      <c r="Q685" s="8">
        <f>AVERAGE(Q682:Q684)</f>
        <v>0.84016185226235729</v>
      </c>
      <c r="R685" s="8">
        <f>AVERAGE(R682:R684)</f>
        <v>0.5577898136586199</v>
      </c>
    </row>
    <row r="686" spans="17:18" x14ac:dyDescent="0.35">
      <c r="Q686" s="8">
        <f>_xlfn.STDEV.S(Q682:Q684)</f>
        <v>8.1990587039789155E-3</v>
      </c>
      <c r="R686" s="8">
        <f>_xlfn.STDEV.S(R682:R684)</f>
        <v>1.6279875367932319E-2</v>
      </c>
    </row>
    <row r="687" spans="17:18" x14ac:dyDescent="0.35">
      <c r="Q687" s="8">
        <f>IF(Q293=Q287,Q287,Q293+(Q293-Q287)*(Q287*0.15/Q294))</f>
        <v>0.80703532656430943</v>
      </c>
      <c r="R687" s="8">
        <f>IF(R293=R287,R287,R293+(R293-R287)*(R287*0.15/R294))</f>
        <v>0.49556539761281343</v>
      </c>
    </row>
    <row r="688" spans="17:18" x14ac:dyDescent="0.35">
      <c r="Q688" s="8">
        <f>IF(Q293=Q288,Q288,Q293+(Q293-Q288)*(Q288*0.15/Q294))</f>
        <v>0.8125470370340705</v>
      </c>
      <c r="R688" s="8">
        <f>IF(R293=R288,R288,R293+(R293-R288)*(R288*0.15/R294))</f>
        <v>0.51929701040562226</v>
      </c>
    </row>
    <row r="689" spans="17:18" x14ac:dyDescent="0.35">
      <c r="Q689" s="8">
        <f>IF(Q293=Q289,Q289,Q293+(Q293-Q289)*(Q289*0.15/Q294))</f>
        <v>0.81456112575524375</v>
      </c>
      <c r="R689" s="8">
        <f>IF(R293=R289,R289,R293+(R293-R289)*(R289*0.15/R294))</f>
        <v>0.5237395384090755</v>
      </c>
    </row>
    <row r="690" spans="17:18" x14ac:dyDescent="0.35">
      <c r="Q690" s="8">
        <f>IF(Q293=Q290,Q290,Q293+(Q293-Q290)*(Q290*0.15/Q294))</f>
        <v>0.81071462442894038</v>
      </c>
      <c r="R690" s="8">
        <f>IF(R293=R290,R290,R293+(R293-R290)*(R290*0.15/R294))</f>
        <v>0.5096792</v>
      </c>
    </row>
    <row r="691" spans="17:18" x14ac:dyDescent="0.35">
      <c r="Q691" s="8">
        <f>IF(Q293=Q291,Q291,Q293+(Q293-Q291)*(Q291*0.15/Q294))</f>
        <v>0.80432024247044598</v>
      </c>
      <c r="R691" s="8">
        <f>IF(R293=R291,R291,R293+(R293-R291)*(R291*0.15/R294))</f>
        <v>0.50909700222196064</v>
      </c>
    </row>
    <row r="692" spans="17:18" x14ac:dyDescent="0.35">
      <c r="Q692" s="8">
        <f>IF(Q293=Q292,Q292,Q293+(Q293-Q292)*(Q292*0.15/Q294))</f>
        <v>0.80432800000000004</v>
      </c>
      <c r="R692" s="8">
        <f>IF(R293=R292,R292,R293+(R293-R292)*(R292*0.15/R294))</f>
        <v>0.50952730332116603</v>
      </c>
    </row>
    <row r="693" spans="17:18" x14ac:dyDescent="0.35">
      <c r="Q693" s="8">
        <f>AVERAGE(Q687:Q692)</f>
        <v>0.80891772604216827</v>
      </c>
      <c r="R693" s="8">
        <f>AVERAGE(R687:R692)</f>
        <v>0.51115090866177304</v>
      </c>
    </row>
    <row r="694" spans="17:18" x14ac:dyDescent="0.35">
      <c r="Q694" s="8">
        <f>_xlfn.STDEV.S(Q687:Q692)</f>
        <v>4.3357714547361415E-3</v>
      </c>
      <c r="R694" s="8">
        <f>_xlfn.STDEV.S(R687:R692)</f>
        <v>9.764847971614735E-3</v>
      </c>
    </row>
    <row r="695" spans="17:18" x14ac:dyDescent="0.35">
      <c r="Q695" s="8">
        <f>IF(Q305=Q296,Q296,Q305+(Q305-Q296)*(Q296*0.15/Q306))</f>
        <v>0.8058007094194104</v>
      </c>
      <c r="R695" s="8">
        <f>IF(R305=R296,R296,R305+(R305-R296)*(R296*0.15/R306))</f>
        <v>0.59104306745504032</v>
      </c>
    </row>
    <row r="696" spans="17:18" x14ac:dyDescent="0.35">
      <c r="Q696" s="8">
        <f>IF(Q305=Q297,Q297,Q305+(Q305-Q297)*(Q297*0.15/Q306))</f>
        <v>0.80432780847145491</v>
      </c>
      <c r="R696" s="8">
        <f>IF(R305=R297,R297,R305+(R305-R297)*(R297*0.15/R306))</f>
        <v>0.60089417723583238</v>
      </c>
    </row>
    <row r="697" spans="17:18" x14ac:dyDescent="0.35">
      <c r="Q697" s="8">
        <f>IF(Q305=Q298,Q298,Q305+(Q305-Q298)*(Q298*0.15/Q306))</f>
        <v>0.80432780847145491</v>
      </c>
      <c r="R697" s="8">
        <f>IF(R305=R298,R298,R305+(R305-R298)*(R298*0.15/R306))</f>
        <v>0.59423104135180516</v>
      </c>
    </row>
    <row r="698" spans="17:18" x14ac:dyDescent="0.35">
      <c r="Q698" s="8">
        <f>IF(Q305=Q299,Q299,Q305+(Q305-Q299)*(Q299*0.15/Q306))</f>
        <v>0.80432780847145491</v>
      </c>
      <c r="R698" s="8">
        <f>IF(R305=R299,R299,R305+(R305-R299)*(R299*0.15/R306))</f>
        <v>0.59610540763581643</v>
      </c>
    </row>
    <row r="699" spans="17:18" x14ac:dyDescent="0.35">
      <c r="Q699" s="8">
        <f>IF(Q305=Q300,Q300,Q305+(Q305-Q300)*(Q300*0.15/Q306))</f>
        <v>0.80432780847145491</v>
      </c>
      <c r="R699" s="8">
        <f>IF(R305=R300,R300,R305+(R305-R300)*(R300*0.15/R306))</f>
        <v>0.59170345461439933</v>
      </c>
    </row>
    <row r="700" spans="17:18" x14ac:dyDescent="0.35">
      <c r="Q700" s="8">
        <f>IF(Q305=Q301,Q301,Q305+(Q305-Q301)*(Q301*0.15/Q306))</f>
        <v>0.80432780847145491</v>
      </c>
      <c r="R700" s="8">
        <f>IF(R305=R301,R301,R305+(R305-R301)*(R301*0.15/R306))</f>
        <v>0.59399905584694868</v>
      </c>
    </row>
    <row r="701" spans="17:18" x14ac:dyDescent="0.35">
      <c r="Q701" s="8">
        <f>IF(Q305=Q302,Q302,Q305+(Q305-Q302)*(Q302*0.15/Q306))</f>
        <v>0.80432780847145491</v>
      </c>
      <c r="R701" s="8">
        <f>IF(R305=R302,R302,R305+(R305-R302)*(R302*0.15/R306))</f>
        <v>0.59188171127599676</v>
      </c>
    </row>
    <row r="702" spans="17:18" x14ac:dyDescent="0.35">
      <c r="Q702" s="8">
        <f>IF(Q305=Q303,Q303,Q305+(Q305-Q303)*(Q303*0.15/Q306))</f>
        <v>0.80432780847145491</v>
      </c>
      <c r="R702" s="8">
        <f>IF(R305=R303,R303,R305+(R305-R303)*(R303*0.15/R306))</f>
        <v>0.58940084814405735</v>
      </c>
    </row>
    <row r="703" spans="17:18" x14ac:dyDescent="0.35">
      <c r="Q703" s="8">
        <f>IF(Q305=Q304,Q304,Q305+(Q305-Q304)*(Q304*0.15/Q306))</f>
        <v>0.80432780847145491</v>
      </c>
      <c r="R703" s="8">
        <f>IF(R305=R304,R304,R305+(R305-R304)*(R304*0.15/R306))</f>
        <v>0.59156288969456705</v>
      </c>
    </row>
    <row r="704" spans="17:18" x14ac:dyDescent="0.35">
      <c r="Q704" s="8">
        <f>AVERAGE(Q695:Q703)</f>
        <v>0.80449146413233885</v>
      </c>
      <c r="R704" s="8">
        <f>AVERAGE(R695:R703)</f>
        <v>0.5934246281393849</v>
      </c>
    </row>
    <row r="705" spans="17:18" x14ac:dyDescent="0.35">
      <c r="Q705" s="8">
        <f>_xlfn.STDEV.S(Q695:Q703)</f>
        <v>4.9096698265183036E-4</v>
      </c>
      <c r="R705" s="8">
        <f>_xlfn.STDEV.S(R695:R703)</f>
        <v>3.4393449486144084E-3</v>
      </c>
    </row>
    <row r="706" spans="17:18" x14ac:dyDescent="0.35">
      <c r="Q706" s="8">
        <f>IF(Q317=Q308,Q308,Q317+(Q317-Q308)*(Q308*0.15/Q318))</f>
        <v>0.80432780847145491</v>
      </c>
      <c r="R706" s="8">
        <f>IF(R317=R308,R308,R317+(R317-R308)*(R308*0.15/R318))</f>
        <v>0.57011265870373573</v>
      </c>
    </row>
    <row r="707" spans="17:18" x14ac:dyDescent="0.35">
      <c r="Q707" s="8">
        <f>IF(Q317=Q309,Q309,Q317+(Q317-Q309)*(Q309*0.15/Q318))</f>
        <v>0.80432780847145491</v>
      </c>
      <c r="R707" s="8">
        <f>IF(R317=R309,R309,R317+(R317-R309)*(R309*0.15/R318))</f>
        <v>0.55871566543327156</v>
      </c>
    </row>
    <row r="708" spans="17:18" x14ac:dyDescent="0.35">
      <c r="Q708" s="8">
        <f>IF(Q317=Q310,Q310,Q317+(Q317-Q310)*(Q310*0.15/Q318))</f>
        <v>0.80432780847145491</v>
      </c>
      <c r="R708" s="8">
        <f>IF(R317=R310,R310,R317+(R317-R310)*(R310*0.15/R318))</f>
        <v>0.56094088702497324</v>
      </c>
    </row>
    <row r="709" spans="17:18" x14ac:dyDescent="0.35">
      <c r="Q709" s="8">
        <f>IF(Q317=Q311,Q311,Q317+(Q317-Q311)*(Q311*0.15/Q318))</f>
        <v>0.80432780847145491</v>
      </c>
      <c r="R709" s="8">
        <f>IF(R317=R311,R311,R317+(R317-R311)*(R311*0.15/R318))</f>
        <v>0.56014983008555663</v>
      </c>
    </row>
    <row r="710" spans="17:18" x14ac:dyDescent="0.35">
      <c r="Q710" s="8">
        <f>IF(Q317=Q312,Q312,Q317+(Q317-Q312)*(Q7186*0.15/Q318))</f>
        <v>0.80432780847145491</v>
      </c>
      <c r="R710" s="8">
        <f>IF(R317=R312,R312,R317+(R317-R312)*(R7186*0.15/R318))</f>
        <v>0.56420499308300109</v>
      </c>
    </row>
    <row r="711" spans="17:18" x14ac:dyDescent="0.35">
      <c r="Q711" s="8">
        <f>IF(Q317=Q313,Q313,Q317+(Q317-Q313)*(Q313*0.15/Q318))</f>
        <v>0.80432780847145491</v>
      </c>
      <c r="R711" s="8">
        <f>IF(R317=R313,R313,R317+(R317-R313)*(R313*0.15/R318))</f>
        <v>0.56572556835498111</v>
      </c>
    </row>
    <row r="712" spans="17:18" x14ac:dyDescent="0.35">
      <c r="Q712" s="8">
        <f>IF(Q317=Q314,Q314,Q317+(Q317-Q314)*(Q314*0.15/Q318))</f>
        <v>0.80432780847145491</v>
      </c>
      <c r="R712" s="8">
        <f>IF(R317=R314,R314,R317+(R317-R314)*(R314*0.15/R318))</f>
        <v>0.56386813377580935</v>
      </c>
    </row>
    <row r="713" spans="17:18" x14ac:dyDescent="0.35">
      <c r="Q713" s="8">
        <f>IF(Q317=Q315,Q315,Q317+(Q317-Q315)*(Q315*0.15/Q318))</f>
        <v>0.80432780847145491</v>
      </c>
      <c r="R713" s="8">
        <f>IF(R317=R315,R315,R317+(R317-R315)*(R315*0.15/R318))</f>
        <v>0.55953205895950031</v>
      </c>
    </row>
    <row r="714" spans="17:18" x14ac:dyDescent="0.35">
      <c r="Q714" s="8">
        <f>IF(Q317=Q316,Q316,Q317+(Q317-Q316)*(Q316*0.15/Q318))</f>
        <v>0.80432780847145491</v>
      </c>
      <c r="R714" s="8">
        <f>IF(R317=R316,R316,R317+(R317-R316)*(R316*0.15/R318))</f>
        <v>0.56255527010962192</v>
      </c>
    </row>
    <row r="715" spans="17:18" x14ac:dyDescent="0.35">
      <c r="Q715" s="8">
        <f>AVERAGE(Q706:Q714)</f>
        <v>0.80432780847145491</v>
      </c>
      <c r="R715" s="8">
        <f>AVERAGE(R706:R714)</f>
        <v>0.56286722950338353</v>
      </c>
    </row>
    <row r="716" spans="17:18" x14ac:dyDescent="0.35">
      <c r="Q716" s="8">
        <f>_xlfn.STDEV.S(Q706:Q714)</f>
        <v>0</v>
      </c>
      <c r="R716" s="8">
        <f>_xlfn.STDEV.S(R706:R714)</f>
        <v>3.5883315488173073E-3</v>
      </c>
    </row>
    <row r="717" spans="17:18" x14ac:dyDescent="0.35">
      <c r="Q717" s="8">
        <f>IF(Q329=Q320,Q320,Q329+(Q329-Q320)*(Q320*0.15/Q330))</f>
        <v>2.5272979656695779E-2</v>
      </c>
      <c r="R717" s="8">
        <f>IF(R329=R320,R320,R329+(R329-R320)*(R320*0.15/R330))</f>
        <v>4.2963277496942398E-2</v>
      </c>
    </row>
    <row r="718" spans="17:18" x14ac:dyDescent="0.35">
      <c r="Q718" s="8">
        <f>IF(Q329=Q321,Q321,Q329+(Q329-Q321)*(Q321*0.15/Q330))</f>
        <v>-8.3687873354477169</v>
      </c>
      <c r="R718" s="8">
        <f>IF(R329=R321,R321,R329+(R329-R321)*(R321*0.15/R330))</f>
        <v>-3.22346028962244</v>
      </c>
    </row>
    <row r="719" spans="17:18" x14ac:dyDescent="0.35">
      <c r="Q719" s="8">
        <f>IF(Q329=Q322,Q322,Q329+(Q329-Q322)*(Q322*0.15/Q330))</f>
        <v>-8.5926288638505159</v>
      </c>
      <c r="R719" s="8">
        <f>IF(R329=R322,R322,R329+(R329-R322)*(R322*0.15/R330))</f>
        <v>-2.604654829715582</v>
      </c>
    </row>
    <row r="720" spans="17:18" x14ac:dyDescent="0.35">
      <c r="Q720" s="8">
        <f>IF(Q329=Q323,Q323,Q329+(Q329-Q323)*(Q323*0.15/Q330))</f>
        <v>-8.5926331333983299</v>
      </c>
      <c r="R720" s="8">
        <f>IF(R329=R323,R323,R329+(R329-R323)*(R323*0.15/R330))</f>
        <v>-3.3853985485157043</v>
      </c>
    </row>
    <row r="721" spans="17:18" x14ac:dyDescent="0.35">
      <c r="Q721" s="8">
        <f>IF(Q329=Q324,Q324,Q329+(Q329-Q324)*(Q324*0.15/Q330))</f>
        <v>-8.9567792228803462</v>
      </c>
      <c r="R721" s="8">
        <f>IF(R329=R324,R324,R329+(R329-R324)*(R324*0.15/R330))</f>
        <v>-3.3731202592662108</v>
      </c>
    </row>
    <row r="722" spans="17:18" x14ac:dyDescent="0.35">
      <c r="Q722" s="8">
        <f>IF(Q329=Q325,Q325,Q329+(Q329-Q325)*(Q325*0.15/Q330))</f>
        <v>-7.7342275891091656</v>
      </c>
      <c r="R722" s="8">
        <f>IF(R329=R325,R325,R329+(R329-R325)*(R325*0.15/R330))</f>
        <v>-2.501551344419283</v>
      </c>
    </row>
    <row r="723" spans="17:18" x14ac:dyDescent="0.35">
      <c r="Q723" s="8">
        <f>IF(Q329=Q326,Q326,Q329+(Q329-Q326)*(Q326*0.15/Q330))</f>
        <v>-7.5676381727074524</v>
      </c>
      <c r="R723" s="8">
        <f>IF(R329=R326,R326,R329+(R329-R326)*(R326*0.15/R330))</f>
        <v>-2.6975122351690555</v>
      </c>
    </row>
    <row r="724" spans="17:18" x14ac:dyDescent="0.35">
      <c r="Q724" s="8">
        <f>IF(Q329=Q327,Q327,Q329+(Q329-Q327)*(Q327*0.15/Q330))</f>
        <v>-7.8034102002705321</v>
      </c>
      <c r="R724" s="8">
        <f>IF(R329=R327,R327,R329+(R329-R327)*(R327*0.15/R330))</f>
        <v>-2.5583078024580006</v>
      </c>
    </row>
    <row r="725" spans="17:18" x14ac:dyDescent="0.35">
      <c r="Q725" s="8">
        <f>IF(Q329=Q328,Q328,Q329+(Q329-Q328)*(Q328*0.15/Q330))</f>
        <v>-8.2236062324583372</v>
      </c>
      <c r="R725" s="8">
        <f>IF(R329=R328,R328,R329+(R329-R328)*(R328*0.15/R330))</f>
        <v>-2.8947182915827301</v>
      </c>
    </row>
    <row r="726" spans="17:18" x14ac:dyDescent="0.35">
      <c r="Q726" s="8">
        <f>AVERAGE(Q717:Q725)</f>
        <v>-7.3127153078295226</v>
      </c>
      <c r="R726" s="8">
        <f>AVERAGE(R717:R725)</f>
        <v>-2.5773067025835625</v>
      </c>
    </row>
    <row r="727" spans="17:18" x14ac:dyDescent="0.35">
      <c r="Q727" s="8">
        <f>_xlfn.STDEV.S(Q717:Q725)</f>
        <v>2.7895751640486361</v>
      </c>
      <c r="R727" s="8">
        <f>_xlfn.STDEV.S(R717:R725)</f>
        <v>1.042335605411326</v>
      </c>
    </row>
    <row r="728" spans="17:18" x14ac:dyDescent="0.35">
      <c r="Q728" s="8">
        <f>IF(Q341=Q332,Q332,Q341+(Q341-Q332)*(Q332*0.15/Q342))</f>
        <v>0.81856080041046697</v>
      </c>
      <c r="R728" s="8">
        <f>IF(R341=R332,R332,R341+(R341-R332)*(R332*0.15/R342))</f>
        <v>0.44906923370656937</v>
      </c>
    </row>
    <row r="729" spans="17:18" x14ac:dyDescent="0.35">
      <c r="Q729" s="8">
        <f>IF(Q341=Q333,Q333,Q341+(Q341-Q333)*(Q333*0.15/Q342))</f>
        <v>0.81856080041046697</v>
      </c>
      <c r="R729" s="8">
        <f>IF(R341=R333,R333,R341+(R341-R333)*(R333*0.15/R342))</f>
        <v>0.43710003750947868</v>
      </c>
    </row>
    <row r="730" spans="17:18" x14ac:dyDescent="0.35">
      <c r="Q730" s="8">
        <f>IF(Q341=Q334,Q334,Q341+(Q341-Q334)*(Q334*0.15/Q342))</f>
        <v>0.81856080041046697</v>
      </c>
      <c r="R730" s="8">
        <f>IF(R341=R334,R334,R341+(R341-R334)*(R334*0.15/R342))</f>
        <v>0.4561544817662806</v>
      </c>
    </row>
    <row r="731" spans="17:18" x14ac:dyDescent="0.35">
      <c r="Q731" s="8">
        <f>IF(Q341=Q335,Q335,Q341+(Q341-Q335)*(Q335*0.15/Q342))</f>
        <v>0.81856080041046697</v>
      </c>
      <c r="R731" s="8">
        <f>IF(R341=R335,R335,R341+(R341-R335)*(R335*0.15/R342))</f>
        <v>0.44223064722094291</v>
      </c>
    </row>
    <row r="732" spans="17:18" x14ac:dyDescent="0.35">
      <c r="Q732" s="8">
        <f>IF(Q341=Q336,Q336,Q341+(Q341-Q336)*(Q336*0.15/Q342))</f>
        <v>0.81856080041046697</v>
      </c>
      <c r="R732" s="8">
        <f>IF(R341=R336,R336,R341+(R341-R336)*(R336*0.15/R342))</f>
        <v>0.43611431212276658</v>
      </c>
    </row>
    <row r="733" spans="17:18" x14ac:dyDescent="0.35">
      <c r="Q733" s="8">
        <f>IF(Q341=Q337,Q337,Q341+(Q341-Q337)*(Q337*0.15/Q342))</f>
        <v>0.81856080041046686</v>
      </c>
      <c r="R733" s="8">
        <f>IF(R341=R337,R337,R341+(R341-R337)*(R337*0.15/R342))</f>
        <v>0.44223064722094291</v>
      </c>
    </row>
    <row r="734" spans="17:18" x14ac:dyDescent="0.35">
      <c r="Q734" s="8">
        <f>IF(Q341=Q338,Q338,Q341+(Q341-Q338)*(Q338*0.15/Q342))</f>
        <v>0.81856080041046697</v>
      </c>
      <c r="R734" s="8">
        <f>IF(R341=R338,R338,R341+(R341-R338)*(R338*0.15/R342))</f>
        <v>0.46687256718756487</v>
      </c>
    </row>
    <row r="735" spans="17:18" x14ac:dyDescent="0.35">
      <c r="Q735" s="8">
        <f>IF(Q341=Q339,Q339,Q341+(Q341-Q339)*(Q339*0.15/Q342))</f>
        <v>0.81856080041046697</v>
      </c>
      <c r="R735" s="8">
        <f>IF(R341=R339,R339,R341+(R341-R339)*(R339*0.15/R342))</f>
        <v>0.46976292231754524</v>
      </c>
    </row>
    <row r="736" spans="17:18" x14ac:dyDescent="0.35">
      <c r="Q736" s="8">
        <f>IF(Q341=Q340,Q340,Q341+(Q341-Q340)*(Q340*0.15/Q342))</f>
        <v>0.81856080041046697</v>
      </c>
      <c r="R736" s="8">
        <f>IF(R341=R340,R340,R341+(R341-R340)*(R340*0.15/R342))</f>
        <v>0.4561544817662806</v>
      </c>
    </row>
    <row r="737" spans="17:18" x14ac:dyDescent="0.35">
      <c r="Q737" s="8">
        <f>AVERAGE(Q728:Q736)</f>
        <v>0.81856080041046675</v>
      </c>
      <c r="R737" s="8">
        <f>AVERAGE(R728:R736)</f>
        <v>0.45063214786870798</v>
      </c>
    </row>
    <row r="738" spans="17:18" x14ac:dyDescent="0.35">
      <c r="Q738" s="8">
        <f>_xlfn.STDEV.S(Q728:Q736)</f>
        <v>2.2548736224414669E-16</v>
      </c>
      <c r="R738" s="8">
        <f>_xlfn.STDEV.S(R728:R736)</f>
        <v>1.2390665773499855E-2</v>
      </c>
    </row>
    <row r="739" spans="17:18" x14ac:dyDescent="0.35">
      <c r="Q739" s="8">
        <f>IF(Q350=Q344,Q344,Q350+(Q350-Q344)*(Q344*0.15/Q351))</f>
        <v>0.18311027238125901</v>
      </c>
      <c r="R739" s="8">
        <f>IF(R350=R344,R344,R350+(R350-R344)*(R344*0.15/R351))</f>
        <v>-0.26304740570908092</v>
      </c>
    </row>
    <row r="740" spans="17:18" x14ac:dyDescent="0.35">
      <c r="Q740" s="8">
        <f>IF(Q350=Q345,Q345,Q350+(Q350-Q345)*(Q345*0.15/Q351))</f>
        <v>0.18311027238125901</v>
      </c>
      <c r="R740" s="8">
        <f>IF(R350=R345,R345,R350+(R350-R345)*(R345*0.15/R351))</f>
        <v>-0.26753405959603227</v>
      </c>
    </row>
    <row r="741" spans="17:18" x14ac:dyDescent="0.35">
      <c r="Q741" s="8">
        <f>IF(Q350=Q346,Q346,Q350+(Q350-Q346)*(Q346*0.15/Q351))</f>
        <v>0.31168293755858922</v>
      </c>
      <c r="R741" s="8">
        <f>IF(R350=R346,R346,R350+(R350-R346)*(R346*0.15/R351))</f>
        <v>-0.43122849826318321</v>
      </c>
    </row>
    <row r="742" spans="17:18" x14ac:dyDescent="0.35">
      <c r="Q742" s="8">
        <f>IF(Q350=Q347,Q347,Q350+(Q350-Q347)*(Q347*0.15/Q351))</f>
        <v>0.31494861917820793</v>
      </c>
      <c r="R742" s="8">
        <f>IF(R350=R347,R347,R350+(R350-R347)*(R347*0.15/R351))</f>
        <v>-0.19887564887217549</v>
      </c>
    </row>
    <row r="743" spans="17:18" x14ac:dyDescent="0.35">
      <c r="Q743" s="8">
        <f>IF(Q350=Q348,Q348,Q350+(Q350-Q348)*(Q348*0.15/Q351))</f>
        <v>0.18311027238125901</v>
      </c>
      <c r="R743" s="8">
        <f>IF(R350=R348,R348,R350+(R350-R348)*(R348*0.15/R351))</f>
        <v>-0.22522946761864468</v>
      </c>
    </row>
    <row r="744" spans="17:18" x14ac:dyDescent="0.35">
      <c r="Q744" s="8">
        <f>IF(Q350=Q349,Q349,Q350+(Q350-Q349)*(Q349*0.15/Q351))</f>
        <v>0.25176409282946105</v>
      </c>
      <c r="R744" s="8">
        <f>IF(R350=R349,R349,R350+(R350-R349)*(R349*0.15/R351))</f>
        <v>-0.26560016829648025</v>
      </c>
    </row>
    <row r="745" spans="17:18" x14ac:dyDescent="0.35">
      <c r="Q745" s="8">
        <f>AVERAGE(Q739:Q744)</f>
        <v>0.23795441111833923</v>
      </c>
      <c r="R745" s="8">
        <f>AVERAGE(R739:R744)</f>
        <v>-0.27525254139259947</v>
      </c>
    </row>
    <row r="746" spans="17:18" x14ac:dyDescent="0.35">
      <c r="Q746" s="8">
        <f>_xlfn.STDEV.S(Q739:Q744)</f>
        <v>6.4153487288246228E-2</v>
      </c>
      <c r="R746" s="8">
        <f>_xlfn.STDEV.S(R739:R744)</f>
        <v>8.11984548464426E-2</v>
      </c>
    </row>
    <row r="747" spans="17:18" x14ac:dyDescent="0.35">
      <c r="Q747" s="8">
        <f>IF(Q362=Q353,Q353,Q362+(Q362-Q353)*(Q353*0.15/Q363))</f>
        <v>0.83594203954037827</v>
      </c>
      <c r="R747" s="8">
        <f>IF(R362=R353,R353,R362+(R362-R353)*(R353*0.15/R363))</f>
        <v>0.46349410997408907</v>
      </c>
    </row>
    <row r="748" spans="17:18" x14ac:dyDescent="0.35">
      <c r="Q748" s="8">
        <f>IF(Q362=Q354,Q354,Q362+(Q362-Q354)*(Q354*0.15/Q363))</f>
        <v>0.83540769490529365</v>
      </c>
      <c r="R748" s="8">
        <f>IF(R362=R354,R354,R362+(R362-R354)*(R354*0.15/R363))</f>
        <v>0.44702828820491841</v>
      </c>
    </row>
    <row r="749" spans="17:18" x14ac:dyDescent="0.35">
      <c r="Q749" s="8">
        <f>IF(Q362=Q355,Q355,Q362+(Q362-Q355)*(Q355*0.15/Q363))</f>
        <v>0.83541357893907053</v>
      </c>
      <c r="R749" s="8">
        <f>IF(R362=R355,R355,R362+(R362-R355)*(R355*0.15/R363))</f>
        <v>0.44884411846138988</v>
      </c>
    </row>
    <row r="750" spans="17:18" x14ac:dyDescent="0.35">
      <c r="Q750" s="8">
        <f>IF(Q362=Q356,Q356,Q362+(Q362-Q356)*(Q356*0.15/Q363))</f>
        <v>0.83554312243248541</v>
      </c>
      <c r="R750" s="8">
        <f>IF(R362=R356,R356,R362+(R362-R356)*(R356*0.15/R363))</f>
        <v>0.45211185393971332</v>
      </c>
    </row>
    <row r="751" spans="17:18" x14ac:dyDescent="0.35">
      <c r="Q751" s="8">
        <f>IF(Q362=Q357,Q357,Q362+(Q362-Q357)*(Q357*0.15/Q363))</f>
        <v>0.8356744467240691</v>
      </c>
      <c r="R751" s="8">
        <f>IF(R362=R357,R357,R362+(R362-R357)*(R357*0.15/R363))</f>
        <v>0.46903019732132012</v>
      </c>
    </row>
    <row r="752" spans="17:18" x14ac:dyDescent="0.35">
      <c r="Q752" s="8">
        <f>IF(Q362=Q358,Q358,Q362+(Q362-Q358)*(Q358*0.15/Q363))</f>
        <v>0.83552713690450864</v>
      </c>
      <c r="R752" s="8">
        <f>IF(R362=R358,R358,R362+(R362-R358)*(R358*0.15/R363))</f>
        <v>0.46583231822660853</v>
      </c>
    </row>
    <row r="753" spans="17:18" x14ac:dyDescent="0.35">
      <c r="Q753" s="8">
        <f>IF(Q362=Q359,Q359,Q362+(Q362-Q359)*(Q359*0.15/Q363))</f>
        <v>0.83540773991702377</v>
      </c>
      <c r="R753" s="8">
        <f>IF(R362=R359,R359,R362+(R362-R359)*(R359*0.15/R363))</f>
        <v>0.43445827747431648</v>
      </c>
    </row>
    <row r="754" spans="17:18" x14ac:dyDescent="0.35">
      <c r="Q754" s="8">
        <f>IF(Q362=Q360,Q360,Q362+(Q362-Q360)*(Q360*0.15/Q363))</f>
        <v>0.8354135530400113</v>
      </c>
      <c r="R754" s="8">
        <f>IF(R362=R360,R360,R362+(R362-R360)*(R360*0.15/R363))</f>
        <v>0.46543736599463698</v>
      </c>
    </row>
    <row r="755" spans="17:18" x14ac:dyDescent="0.35">
      <c r="Q755" s="8">
        <f>IF(Q362=Q361,Q361,Q362+(Q362-Q361)*(Q361*0.15/Q363))</f>
        <v>0.84618238729110817</v>
      </c>
      <c r="R755" s="8">
        <f>IF(R362=R361,R361,R362+(R362-R361)*(R361*0.15/R363))</f>
        <v>0.4683659355540124</v>
      </c>
    </row>
    <row r="756" spans="17:18" x14ac:dyDescent="0.35">
      <c r="Q756" s="8">
        <f>AVERAGE(Q747:Q755)</f>
        <v>0.83672352218821655</v>
      </c>
      <c r="R756" s="8">
        <f>AVERAGE(R747:R755)</f>
        <v>0.45717805168344505</v>
      </c>
    </row>
    <row r="757" spans="17:18" x14ac:dyDescent="0.35">
      <c r="Q757" s="8">
        <f>_xlfn.STDEV.S(Q747:Q755)</f>
        <v>3.5514211896851022E-3</v>
      </c>
      <c r="R757" s="8">
        <f>_xlfn.STDEV.S(R747:R755)</f>
        <v>1.2057020453125941E-2</v>
      </c>
    </row>
    <row r="758" spans="17:18" x14ac:dyDescent="0.35">
      <c r="Q758" s="8">
        <f>IF(Q374=Q365,Q365,Q374+(Q374-Q365)*(Q365*0.15/Q375))</f>
        <v>0.7659760801480765</v>
      </c>
      <c r="R758" s="8">
        <f>IF(R374=R365,R365,R374+(R374-R365)*(R365*0.15/R375))</f>
        <v>0.4931803647944385</v>
      </c>
    </row>
    <row r="759" spans="17:18" x14ac:dyDescent="0.35">
      <c r="Q759" s="8">
        <f>IF(Q374=Q366,Q366,Q374+(Q374-Q366)*(Q366*0.15/Q375))</f>
        <v>0.76689837246792558</v>
      </c>
      <c r="R759" s="8">
        <f>IF(R374=R366,R366,R374+(R374-R366)*(R366*0.15/R375))</f>
        <v>0.48327196617887747</v>
      </c>
    </row>
    <row r="760" spans="17:18" x14ac:dyDescent="0.35">
      <c r="Q760" s="8">
        <f>IF(Q374=Q367,Q367,Q374+(Q374-Q367)*(Q367*0.15/Q375))</f>
        <v>0.75461125374964855</v>
      </c>
      <c r="R760" s="8">
        <f>IF(R374=R367,R367,R374+(R374-R367)*(R367*0.15/R375))</f>
        <v>0.47012063760640849</v>
      </c>
    </row>
    <row r="761" spans="17:18" x14ac:dyDescent="0.35">
      <c r="Q761" s="8">
        <f>IF(Q374=Q368,Q368,Q374+(Q374-Q368)*(Q368*0.15/Q375))</f>
        <v>0.76471328448313791</v>
      </c>
      <c r="R761" s="8">
        <f>IF(R374=R368,R368,R374+(R374-R368)*(R368*0.15/R375))</f>
        <v>0.4869948433320721</v>
      </c>
    </row>
    <row r="762" spans="17:18" x14ac:dyDescent="0.35">
      <c r="Q762" s="8">
        <f>IF(Q374=Q369,Q369,Q374+(Q374-Q369)*(Q369*0.15/Q375))</f>
        <v>0.77617431347415189</v>
      </c>
      <c r="R762" s="8">
        <f>IF(R374=R369,R369,R374+(R374-R369)*(R369*0.15/R375))</f>
        <v>0.49638932701685989</v>
      </c>
    </row>
    <row r="763" spans="17:18" x14ac:dyDescent="0.35">
      <c r="Q763" s="8">
        <f>IF(Q374=Q370,Q370,Q374+(Q374-Q370)*(Q370*0.15/Q375))</f>
        <v>0.77870467901221918</v>
      </c>
      <c r="R763" s="8">
        <f>IF(R374=R370,R370,R374+(R374-R370)*(R370*0.15/R375))</f>
        <v>0.50201315460012697</v>
      </c>
    </row>
    <row r="764" spans="17:18" x14ac:dyDescent="0.35">
      <c r="Q764" s="8">
        <f>IF(Q374=Q371,Q371,Q374+(Q374-Q371)*(Q371*0.15/Q375))</f>
        <v>0.7659760801480765</v>
      </c>
      <c r="R764" s="8">
        <f>IF(R374=R371,R371,R374+(R374-R371)*(R371*0.15/R375))</f>
        <v>0.4931803647944385</v>
      </c>
    </row>
    <row r="765" spans="17:18" x14ac:dyDescent="0.35">
      <c r="Q765" s="8">
        <f>IF(Q374=Q372,Q372,Q374+(Q374-Q372)*(Q372*0.15/Q375))</f>
        <v>0.76689837246792558</v>
      </c>
      <c r="R765" s="8">
        <f>IF(R374=R372,R372,R374+(R374-R372)*(R372*0.15/R375))</f>
        <v>0.48327196617887747</v>
      </c>
    </row>
    <row r="766" spans="17:18" x14ac:dyDescent="0.35">
      <c r="Q766" s="8">
        <f>IF(Q374=Q373,Q373,Q374+(Q374-Q373)*(Q373*0.15/Q375))</f>
        <v>0.75461125374964855</v>
      </c>
      <c r="R766" s="8">
        <f>IF(R374=R373,R373,R374+(R374-R373)*(R373*0.15/R375))</f>
        <v>0.47012063760640849</v>
      </c>
    </row>
    <row r="767" spans="17:18" x14ac:dyDescent="0.35">
      <c r="Q767" s="8">
        <f>AVERAGE(Q758:Q766)</f>
        <v>0.76606263218897885</v>
      </c>
      <c r="R767" s="8">
        <f>AVERAGE(R758:R766)</f>
        <v>0.48650480690094533</v>
      </c>
    </row>
    <row r="768" spans="17:18" x14ac:dyDescent="0.35">
      <c r="Q768" s="8">
        <f>_xlfn.STDEV.S(Q758:Q766)</f>
        <v>8.1207160089641437E-3</v>
      </c>
      <c r="R768" s="8">
        <f>_xlfn.STDEV.S(R758:R766)</f>
        <v>1.1098217162994185E-2</v>
      </c>
    </row>
    <row r="769" spans="17:18" x14ac:dyDescent="0.35">
      <c r="Q769" s="8" t="e">
        <f>IF(Q386=Q377,Q377,Q386+(Q386-Q377)*(Q377*0.15/Q387))</f>
        <v>#DIV/0!</v>
      </c>
      <c r="R769" s="8">
        <f>IF(R386=R377,R377,R386+(R386-R377)*(R377*0.15/R387))</f>
        <v>1.4090619882578306</v>
      </c>
    </row>
    <row r="770" spans="17:18" x14ac:dyDescent="0.35">
      <c r="Q770" s="8" t="e">
        <f>IF(Q386=Q378,Q378,Q386+(Q386-Q378)*(Q378*0.15/Q387))</f>
        <v>#DIV/0!</v>
      </c>
      <c r="R770" s="8">
        <f>IF(R386=R378,R378,R386+(R386-R378)*(R378*0.15/R387))</f>
        <v>0.58796732838624044</v>
      </c>
    </row>
    <row r="771" spans="17:18" x14ac:dyDescent="0.35">
      <c r="Q771" s="8" t="e">
        <f>IF(Q386=Q379,Q379,Q386+(Q386-Q379)*(Q379*0.15/Q387))</f>
        <v>#DIV/0!</v>
      </c>
      <c r="R771" s="8">
        <f>IF(R386=R379,R379,R386+(R386-R379)*(R379*0.15/R387))</f>
        <v>0.46852344931239831</v>
      </c>
    </row>
    <row r="772" spans="17:18" x14ac:dyDescent="0.35">
      <c r="Q772" s="8" t="e">
        <f>IF(Q386=Q380,Q380,Q386+(Q386-Q380)*(Q380*0.15/Q387))</f>
        <v>#DIV/0!</v>
      </c>
      <c r="R772" s="8">
        <f>IF(R386=R380,R380,R386+(R386-R380)*(R380*0.15/R387))</f>
        <v>0.75845221891597414</v>
      </c>
    </row>
    <row r="773" spans="17:18" x14ac:dyDescent="0.35">
      <c r="Q773" s="8" t="e">
        <f>IF(Q386=Q381,Q381,Q386+(Q386-Q381)*(Q381*0.15/Q387))</f>
        <v>#DIV/0!</v>
      </c>
      <c r="R773" s="8">
        <f>IF(R386=R381,R381,R386+(R386-R381)*(R381*0.15/R387))</f>
        <v>1.0522827126163405</v>
      </c>
    </row>
    <row r="774" spans="17:18" x14ac:dyDescent="0.35">
      <c r="Q774" s="8" t="e">
        <f>IF(Q386=Q382,Q382,Q386+(Q386-Q382)*(Q382*0.15/Q387))</f>
        <v>#DIV/0!</v>
      </c>
      <c r="R774" s="8">
        <f>IF(R386=R382,R382,R386+(R386-R382)*(R382*0.15/R387))</f>
        <v>1.3931972841892182</v>
      </c>
    </row>
    <row r="775" spans="17:18" x14ac:dyDescent="0.35">
      <c r="Q775" s="8">
        <f>IF(Q386=Q383,Q383,Q386+(Q386-Q8963)*(Q383*0.15/Q387))</f>
        <v>0.82009399999999999</v>
      </c>
      <c r="R775" s="8">
        <f>IF(R386=R383,R383,R386+(R386-R8963)*(R383*0.15/R387))</f>
        <v>5.4980458417088425</v>
      </c>
    </row>
    <row r="776" spans="17:18" x14ac:dyDescent="0.35">
      <c r="Q776" s="8">
        <f>IF(Q386=Q384,Q384,Q386+(Q386-Q384)*(Q384*0.15/Q387))</f>
        <v>0.82009399999999999</v>
      </c>
      <c r="R776" s="8">
        <f>IF(R386=R384,R384,R386+(R386-R384)*(R384*0.15/R387))</f>
        <v>0.61680395790147124</v>
      </c>
    </row>
    <row r="777" spans="17:18" x14ac:dyDescent="0.35">
      <c r="Q777" s="8">
        <f>IF(Q386=Q385,Q385,Q386+(Q386-Q385)*(Q385*0.15/Q387))</f>
        <v>0.82009399999999999</v>
      </c>
      <c r="R777" s="8">
        <f>IF(R386=R385,R385,R386+(R386-R385)*(R385*0.15/R387))</f>
        <v>0.57136075623068494</v>
      </c>
    </row>
    <row r="778" spans="17:18" x14ac:dyDescent="0.35">
      <c r="Q778" s="8" t="e">
        <f>AVERAGE(Q769:Q777)</f>
        <v>#DIV/0!</v>
      </c>
      <c r="R778" s="8">
        <f>AVERAGE(R769:R777)</f>
        <v>1.3728550597243334</v>
      </c>
    </row>
    <row r="779" spans="17:18" x14ac:dyDescent="0.35">
      <c r="Q779" s="8" t="e">
        <f>_xlfn.STDEV.S(Q769:Q777)</f>
        <v>#DIV/0!</v>
      </c>
      <c r="R779" s="8">
        <f>_xlfn.STDEV.S(R769:R777)</f>
        <v>1.5869409257892733</v>
      </c>
    </row>
    <row r="780" spans="17:18" x14ac:dyDescent="0.35">
      <c r="Q780" s="8">
        <f>IF(Q397=Q389,Q389,Q397+(Q397-Q389)*(Q389*0.15/Q398))</f>
        <v>0.6335491677155054</v>
      </c>
      <c r="R780" s="8">
        <f>IF(R397=R389,R389,R397+(R397-R389)*(R389*0.15/R398))</f>
        <v>0.60677344381473231</v>
      </c>
    </row>
    <row r="781" spans="17:18" x14ac:dyDescent="0.35">
      <c r="Q781" s="8">
        <f>IF(Q397=Q390,Q390,Q397+(Q397-Q390)*(Q390*0.15/Q398))</f>
        <v>0.75882230330548683</v>
      </c>
      <c r="R781" s="8">
        <f>IF(R397=R390,R390,R397+(R397-R390)*(R390*0.15/R398))</f>
        <v>0.49473275797039601</v>
      </c>
    </row>
    <row r="782" spans="17:18" x14ac:dyDescent="0.35">
      <c r="Q782" s="8">
        <f>IF(Q397=Q391,Q391,Q397+(Q397-Q391)*(Q391*0.15/Q398))</f>
        <v>0.797156183438125</v>
      </c>
      <c r="R782" s="8">
        <f>IF(R397=R391,R391,R397+(R397-R391)*(R391*0.15/R398))</f>
        <v>0.34306877219501231</v>
      </c>
    </row>
    <row r="783" spans="17:18" x14ac:dyDescent="0.35">
      <c r="Q783" s="8">
        <f>IF(Q397=Q392,Q392,Q397+(Q397-Q392)*(Q392*0.15/Q398))</f>
        <v>0.83867556056500547</v>
      </c>
      <c r="R783" s="8">
        <f>IF(R397=R392,R392,R397+(R397-R392)*(R392*0.15/R398))</f>
        <v>0.54881440285251781</v>
      </c>
    </row>
    <row r="784" spans="17:18" x14ac:dyDescent="0.35">
      <c r="Q784" s="8">
        <f>IF(Q397=Q393,Q393,Q397+(Q397-Q393)*(Q393*0.15/Q398))</f>
        <v>0.6335491677155054</v>
      </c>
      <c r="R784" s="8">
        <f>IF(R397=R393,R393,R397+(R397-R393)*(R393*0.15/R398))</f>
        <v>0.46676380697617897</v>
      </c>
    </row>
    <row r="785" spans="17:18" x14ac:dyDescent="0.35">
      <c r="Q785" s="8">
        <f>IF(Q397=Q394,Q394,Q397+(Q397-Q394)*(Q394*0.15/Q398))</f>
        <v>0.91887418519046427</v>
      </c>
      <c r="R785" s="8">
        <f>IF(R397=R394,R394,R397+(R397-R394)*(R394*0.15/R398))</f>
        <v>0.56970917275820887</v>
      </c>
    </row>
    <row r="786" spans="17:18" x14ac:dyDescent="0.35">
      <c r="Q786" s="8">
        <f>IF(Q397=Q395,Q395,Q397+(Q397-Q395)*(Q395*0.15/Q398))</f>
        <v>0.6335491677155054</v>
      </c>
      <c r="R786" s="8">
        <f>IF(R397=R395,R395,R397+(R397-R395)*(R395*0.15/R398))</f>
        <v>0.4768235194294117</v>
      </c>
    </row>
    <row r="787" spans="17:18" x14ac:dyDescent="0.35">
      <c r="Q787" s="8">
        <f>IF(Q397=Q396,Q396,Q397+(Q397-Q396)*(Q396*0.15/Q398))</f>
        <v>0.86594056263021246</v>
      </c>
      <c r="R787" s="8">
        <f>IF(R397=R396,R396,R397+(R397-R396)*(R396*0.15/R398))</f>
        <v>0.54713886665308364</v>
      </c>
    </row>
    <row r="788" spans="17:18" x14ac:dyDescent="0.35">
      <c r="Q788" s="8">
        <f>AVERAGE(Q780:Q787)</f>
        <v>0.76001453728447621</v>
      </c>
      <c r="R788" s="8">
        <f>AVERAGE(R780:R787)</f>
        <v>0.5067280928311928</v>
      </c>
    </row>
    <row r="789" spans="17:18" x14ac:dyDescent="0.35">
      <c r="Q789" s="8">
        <f>_xlfn.STDEV.S(Q780:Q787)</f>
        <v>0.11464582701483855</v>
      </c>
      <c r="R789" s="8">
        <f>_xlfn.STDEV.S(R780:R787)</f>
        <v>8.1765925279815022E-2</v>
      </c>
    </row>
    <row r="790" spans="17:18" x14ac:dyDescent="0.35">
      <c r="Q790" s="8">
        <f>IF(Q409=Q400,Q400,Q409+(Q409-Q400)*(Q400*0.15/Q410))</f>
        <v>0.95689749064630447</v>
      </c>
      <c r="R790" s="8">
        <f>IF(R409=R400,R400,R409+(R409-R400)*(R400*0.15/R410))</f>
        <v>0.64104671258078894</v>
      </c>
    </row>
    <row r="791" spans="17:18" x14ac:dyDescent="0.35">
      <c r="Q791" s="8">
        <f>IF(Q409=Q401,Q401,Q409+(Q409-Q401)*(Q401*0.15/Q410))</f>
        <v>0.68301615385599057</v>
      </c>
      <c r="R791" s="8">
        <f>IF(R409=R401,R401,R409+(R409-R401)*(R401*0.15/R410))</f>
        <v>0.46493840827971339</v>
      </c>
    </row>
    <row r="792" spans="17:18" x14ac:dyDescent="0.35">
      <c r="Q792" s="8">
        <f>IF(Q409=Q402,Q402,Q409+(Q409-Q402)*(Q402*0.15/Q410))</f>
        <v>0.90623052041352725</v>
      </c>
      <c r="R792" s="8">
        <f>IF(R409=R402,R402,R409+(R409-R402)*(R402*0.15/R410))</f>
        <v>0.59835545740771057</v>
      </c>
    </row>
    <row r="793" spans="17:18" x14ac:dyDescent="0.35">
      <c r="Q793" s="8">
        <f>IF(Q409=Q403,Q403,Q409+(Q409-Q403)*(Q403*0.15/Q410))</f>
        <v>0.82249107495696894</v>
      </c>
      <c r="R793" s="8">
        <f>IF(R409=R403,R403,R409+(R409-R403)*(R403*0.15/R410))</f>
        <v>0.54887109454462168</v>
      </c>
    </row>
    <row r="794" spans="17:18" x14ac:dyDescent="0.35">
      <c r="Q794" s="8">
        <f>IF(Q409=Q404,Q404,Q409+(Q409-Q404)*(Q404*0.15/Q410))</f>
        <v>0.68301615385599057</v>
      </c>
      <c r="R794" s="8">
        <f>IF(R409=R404,R404,R409+(R409-R404)*(R404*0.15/R410))</f>
        <v>0.58095077785828941</v>
      </c>
    </row>
    <row r="795" spans="17:18" x14ac:dyDescent="0.35">
      <c r="Q795" s="8">
        <f>IF(Q409=Q405,Q405,Q409+(Q409-Q405)*(Q405*0.15/Q410))</f>
        <v>0.85926077393016187</v>
      </c>
      <c r="R795" s="8">
        <f>IF(R409=R405,R405,R409+(R409-R405)*(R405*0.15/R410))</f>
        <v>0.50083706059308841</v>
      </c>
    </row>
    <row r="796" spans="17:18" x14ac:dyDescent="0.35">
      <c r="Q796" s="8">
        <f>IF(Q409=Q406,Q406,Q409+(Q409-Q406)*(Q406*0.15/Q410))</f>
        <v>0.68301615385599057</v>
      </c>
      <c r="R796" s="8">
        <f>IF(R409=R406,R406,R409+(R409-R406)*(R406*0.15/R410))</f>
        <v>0.43980037014589679</v>
      </c>
    </row>
    <row r="797" spans="17:18" x14ac:dyDescent="0.35">
      <c r="Q797" s="8">
        <f>IF(Q409=Q407,Q407,Q409+(Q409-Q407)*(Q407*0.15/Q410))</f>
        <v>0.68301615385599057</v>
      </c>
      <c r="R797" s="8">
        <f>IF(R409=R407,R407,R409+(R409-R407)*(R407*0.15/R410))</f>
        <v>0.47003444739134981</v>
      </c>
    </row>
    <row r="798" spans="17:18" x14ac:dyDescent="0.35">
      <c r="Q798" s="8">
        <f>IF(Q409=Q408,Q408,Q409+(Q409-Q408)*(Q408*0.15/Q410))</f>
        <v>0.68301615385599057</v>
      </c>
      <c r="R798" s="8">
        <f>IF(R409=R408,R408,R409+(R409-R408)*(R408*0.15/R410))</f>
        <v>0.42465307877082736</v>
      </c>
    </row>
    <row r="799" spans="17:18" x14ac:dyDescent="0.35">
      <c r="Q799" s="8">
        <f>AVERAGE(Q790:Q798)</f>
        <v>0.77332895880299057</v>
      </c>
      <c r="R799" s="8">
        <f>AVERAGE(R790:R798)</f>
        <v>0.51883193417469853</v>
      </c>
    </row>
    <row r="800" spans="17:18" x14ac:dyDescent="0.35">
      <c r="Q800" s="8">
        <f>_xlfn.STDEV.S(Q790:Q798)</f>
        <v>0.11288458440172026</v>
      </c>
      <c r="R800" s="8">
        <f>_xlfn.STDEV.S(R790:R798)</f>
        <v>7.6441735939506178E-2</v>
      </c>
    </row>
    <row r="821" spans="17:18" x14ac:dyDescent="0.35">
      <c r="Q821" s="8" t="s">
        <v>388</v>
      </c>
      <c r="R821" s="8" t="s">
        <v>389</v>
      </c>
    </row>
    <row r="822" spans="17:18" x14ac:dyDescent="0.35">
      <c r="Q822" s="8">
        <f>Q8+(Q3-Q8)*(Q8*0.15/Q9)</f>
        <v>0.88295072870841007</v>
      </c>
      <c r="R822" s="8">
        <f>R8+(R3-R8)*(R8*0.15/R9)</f>
        <v>0.49432399591826426</v>
      </c>
    </row>
    <row r="823" spans="17:18" x14ac:dyDescent="0.35">
      <c r="Q823" s="8">
        <f>Q8+(Q4-Q8)*(Q8*0.15/Q9)</f>
        <v>0.88295072870841007</v>
      </c>
      <c r="R823" s="8">
        <f>R8+(R4-R8)*(R8*0.15/R9)</f>
        <v>0.55226222072282261</v>
      </c>
    </row>
    <row r="824" spans="17:18" x14ac:dyDescent="0.35">
      <c r="Q824" s="8">
        <f>Q8+(Q5-Q8)*(Q8*0.15/Q9)</f>
        <v>0.60541754324350983</v>
      </c>
      <c r="R824" s="8">
        <f>R8+(R5-R8)*(R8*0.15/R9)</f>
        <v>0.53607794723887658</v>
      </c>
    </row>
    <row r="825" spans="17:18" x14ac:dyDescent="0.35">
      <c r="Q825" s="8">
        <f>Q8+(Q6-Q8)*(Q8*0.15/Q9)</f>
        <v>0.88295072870841007</v>
      </c>
      <c r="R825" s="8">
        <f>R8+(R6-R8)*(R8*0.15/R9)</f>
        <v>0.72008047976720901</v>
      </c>
    </row>
    <row r="826" spans="17:18" x14ac:dyDescent="0.35">
      <c r="Q826" s="8">
        <f>Q8+(Q7-Q8)*(Q8*0.15/Q9)</f>
        <v>0.88295072870841007</v>
      </c>
      <c r="R826" s="8">
        <f>R8+(R7-R8)*(R8*0.15/R9)</f>
        <v>0.61040083601290418</v>
      </c>
    </row>
    <row r="827" spans="17:18" x14ac:dyDescent="0.35">
      <c r="Q827" s="8">
        <v>0.82939389937937413</v>
      </c>
      <c r="R827" s="8">
        <v>0.5798076346409673</v>
      </c>
    </row>
    <row r="828" spans="17:18" x14ac:dyDescent="0.35">
      <c r="Q828" s="8">
        <v>0.8293601003764115</v>
      </c>
      <c r="R828" s="8">
        <v>0.5435041347777394</v>
      </c>
    </row>
    <row r="829" spans="17:18" x14ac:dyDescent="0.35">
      <c r="Q829" s="8">
        <v>0.8293601003764115</v>
      </c>
      <c r="R829" s="8">
        <v>0.54534270711178123</v>
      </c>
    </row>
    <row r="830" spans="17:18" x14ac:dyDescent="0.35">
      <c r="Q830" s="8">
        <v>0.8293601003764115</v>
      </c>
      <c r="R830" s="8">
        <v>0.54017596020303849</v>
      </c>
    </row>
    <row r="831" spans="17:18" x14ac:dyDescent="0.35">
      <c r="Q831" s="8">
        <v>0.83642899999999998</v>
      </c>
      <c r="R831" s="8">
        <v>0.71768299999999996</v>
      </c>
    </row>
    <row r="832" spans="17:18" x14ac:dyDescent="0.35">
      <c r="Q832" s="8">
        <v>0.83616299999999999</v>
      </c>
      <c r="R832" s="8">
        <v>0.54491100000000003</v>
      </c>
    </row>
    <row r="833" spans="17:18" x14ac:dyDescent="0.35">
      <c r="Q833" s="8">
        <v>0.83616299999999999</v>
      </c>
      <c r="R833" s="8">
        <v>0.65395099999999995</v>
      </c>
    </row>
    <row r="834" spans="17:18" x14ac:dyDescent="0.35">
      <c r="Q834" s="8">
        <v>0.83616299999999999</v>
      </c>
      <c r="R834" s="8">
        <v>0.60687000000000002</v>
      </c>
    </row>
    <row r="835" spans="17:18" x14ac:dyDescent="0.35">
      <c r="Q835" s="8">
        <v>0.80434345465513779</v>
      </c>
      <c r="R835" s="8">
        <v>0.54458431100613169</v>
      </c>
    </row>
    <row r="836" spans="17:18" x14ac:dyDescent="0.35">
      <c r="Q836" s="8">
        <v>0.80434300000000003</v>
      </c>
      <c r="R836" s="8">
        <v>0.61014199999999996</v>
      </c>
    </row>
    <row r="837" spans="17:18" x14ac:dyDescent="0.35">
      <c r="Q837" s="8">
        <v>0.80434345465513779</v>
      </c>
      <c r="R837" s="8">
        <v>0.54530897307525206</v>
      </c>
    </row>
    <row r="838" spans="17:18" x14ac:dyDescent="0.35">
      <c r="Q838" s="8">
        <v>0.80434300000000003</v>
      </c>
      <c r="R838" s="8">
        <v>0.55693300000000001</v>
      </c>
    </row>
    <row r="839" spans="17:18" x14ac:dyDescent="0.35">
      <c r="Q839" s="8">
        <v>0.82389500000000004</v>
      </c>
      <c r="R839" s="8">
        <v>0.73805500000000002</v>
      </c>
    </row>
    <row r="840" spans="17:18" x14ac:dyDescent="0.35">
      <c r="Q840" s="8">
        <v>0.82389500000000004</v>
      </c>
      <c r="R840" s="8">
        <v>0.50399700000000003</v>
      </c>
    </row>
    <row r="841" spans="17:18" x14ac:dyDescent="0.35">
      <c r="Q841" s="8">
        <v>0.82389500000000004</v>
      </c>
      <c r="R841" s="8">
        <v>0.58970400000000001</v>
      </c>
    </row>
    <row r="842" spans="17:18" x14ac:dyDescent="0.35">
      <c r="Q842" s="8">
        <v>0.82389500000000004</v>
      </c>
      <c r="R842" s="8">
        <v>0.56096599999999996</v>
      </c>
    </row>
    <row r="843" spans="17:18" x14ac:dyDescent="0.35">
      <c r="Q843" s="8">
        <v>0.82389500000000004</v>
      </c>
      <c r="R843" s="8">
        <v>0.55400099999999997</v>
      </c>
    </row>
    <row r="844" spans="17:18" x14ac:dyDescent="0.35">
      <c r="Q844" s="8">
        <v>0.82595099999999999</v>
      </c>
      <c r="R844" s="8">
        <v>0.58996099999999996</v>
      </c>
    </row>
    <row r="845" spans="17:18" x14ac:dyDescent="0.35">
      <c r="Q845" s="8">
        <v>0.82595099999999999</v>
      </c>
      <c r="R845" s="8">
        <v>0.57586899999999996</v>
      </c>
    </row>
    <row r="846" spans="17:18" x14ac:dyDescent="0.35">
      <c r="Q846" s="8">
        <v>0.82595099999999999</v>
      </c>
      <c r="R846" s="8">
        <v>0.54144700000000001</v>
      </c>
    </row>
    <row r="847" spans="17:18" x14ac:dyDescent="0.35">
      <c r="Q847" s="8">
        <v>0.82595099999999999</v>
      </c>
      <c r="R847" s="8">
        <v>0.55718800000000002</v>
      </c>
    </row>
    <row r="848" spans="17:18" x14ac:dyDescent="0.35">
      <c r="Q848" s="8">
        <v>0.81953799999999999</v>
      </c>
      <c r="R848" s="8">
        <v>0.543296</v>
      </c>
    </row>
    <row r="849" spans="17:18" x14ac:dyDescent="0.35">
      <c r="Q849" s="8">
        <v>0.81953799999999999</v>
      </c>
      <c r="R849" s="8">
        <v>0.56403000000000003</v>
      </c>
    </row>
    <row r="850" spans="17:18" x14ac:dyDescent="0.35">
      <c r="Q850" s="8">
        <v>0.81953799999999999</v>
      </c>
      <c r="R850" s="8">
        <v>0.508969</v>
      </c>
    </row>
    <row r="851" spans="17:18" x14ac:dyDescent="0.35">
      <c r="Q851" s="8">
        <v>0.81953799999999999</v>
      </c>
      <c r="R851" s="8">
        <v>0.54315800000000003</v>
      </c>
    </row>
    <row r="852" spans="17:18" x14ac:dyDescent="0.35">
      <c r="Q852" s="8">
        <v>0.824712</v>
      </c>
      <c r="R852" s="8">
        <v>0.578569</v>
      </c>
    </row>
    <row r="853" spans="17:18" x14ac:dyDescent="0.35">
      <c r="Q853" s="8">
        <v>0.824712</v>
      </c>
      <c r="R853" s="8">
        <v>0.61019299999999999</v>
      </c>
    </row>
    <row r="854" spans="17:18" x14ac:dyDescent="0.35">
      <c r="Q854" s="8">
        <v>0.824712</v>
      </c>
      <c r="R854" s="8">
        <v>0.52480499999999997</v>
      </c>
    </row>
    <row r="855" spans="17:18" x14ac:dyDescent="0.35">
      <c r="Q855" s="8">
        <v>0.824712</v>
      </c>
      <c r="R855" s="8">
        <v>0.54083099999999995</v>
      </c>
    </row>
    <row r="856" spans="17:18" x14ac:dyDescent="0.35">
      <c r="Q856" s="8">
        <v>0.81365299999999996</v>
      </c>
      <c r="R856" s="8">
        <v>0.51631000000000005</v>
      </c>
    </row>
    <row r="857" spans="17:18" x14ac:dyDescent="0.35">
      <c r="Q857" s="8">
        <v>0.81371400000000005</v>
      </c>
      <c r="R857" s="8">
        <v>0.46729100000000001</v>
      </c>
    </row>
    <row r="858" spans="17:18" x14ac:dyDescent="0.35">
      <c r="Q858" s="8">
        <v>0.81371400000000005</v>
      </c>
      <c r="R858" s="8">
        <v>0.55146399999999995</v>
      </c>
    </row>
    <row r="859" spans="17:18" x14ac:dyDescent="0.35">
      <c r="Q859" s="8">
        <v>0.81371400000000005</v>
      </c>
      <c r="R859" s="8">
        <v>0.41776200000000002</v>
      </c>
    </row>
    <row r="860" spans="17:18" x14ac:dyDescent="0.35">
      <c r="Q860" s="8">
        <v>0.77245399999999997</v>
      </c>
      <c r="R860" s="8">
        <v>0.48849399999999998</v>
      </c>
    </row>
    <row r="861" spans="17:18" x14ac:dyDescent="0.35">
      <c r="Q861" s="8">
        <v>0.76649599999999996</v>
      </c>
      <c r="R861" s="8" t="s">
        <v>366</v>
      </c>
    </row>
    <row r="862" spans="17:18" x14ac:dyDescent="0.35">
      <c r="Q862" s="8">
        <v>0.77222900000000005</v>
      </c>
      <c r="R862" s="8">
        <v>0.52664800000000001</v>
      </c>
    </row>
    <row r="863" spans="17:18" x14ac:dyDescent="0.35">
      <c r="Q863" s="8">
        <v>0.83209299999999997</v>
      </c>
      <c r="R863" s="8">
        <v>0.61148800000000003</v>
      </c>
    </row>
    <row r="864" spans="17:18" x14ac:dyDescent="0.35">
      <c r="Q864" s="8">
        <v>0.80695499999999998</v>
      </c>
      <c r="R864" s="8">
        <v>0.57205899999999998</v>
      </c>
    </row>
    <row r="865" spans="17:18" x14ac:dyDescent="0.35">
      <c r="Q865" s="8">
        <v>0.75988199999999995</v>
      </c>
      <c r="R865" s="8" t="s">
        <v>366</v>
      </c>
    </row>
    <row r="866" spans="17:18" x14ac:dyDescent="0.35">
      <c r="Q866" s="8">
        <v>0.80437899999999996</v>
      </c>
      <c r="R866" s="8">
        <v>0.519038</v>
      </c>
    </row>
    <row r="867" spans="17:18" x14ac:dyDescent="0.35">
      <c r="Q867" s="8">
        <v>0.80432800000000004</v>
      </c>
      <c r="R867" s="8">
        <v>0.51622199999999996</v>
      </c>
    </row>
    <row r="868" spans="17:18" x14ac:dyDescent="0.35">
      <c r="Q868" s="8">
        <v>0.80432800000000004</v>
      </c>
      <c r="R868" s="8">
        <v>0.51040200000000002</v>
      </c>
    </row>
    <row r="869" spans="17:18" x14ac:dyDescent="0.35">
      <c r="Q869" s="8">
        <v>0.80802799999999997</v>
      </c>
      <c r="R869" s="8">
        <v>0.64616899999999999</v>
      </c>
    </row>
    <row r="870" spans="17:18" x14ac:dyDescent="0.35">
      <c r="Q870" s="8">
        <v>0.81856080041046697</v>
      </c>
      <c r="R870" s="8">
        <v>0.58377030289685994</v>
      </c>
    </row>
    <row r="871" spans="17:18" x14ac:dyDescent="0.35">
      <c r="Q871" s="8">
        <v>0.81856099999999998</v>
      </c>
      <c r="R871" s="8">
        <v>0.661497</v>
      </c>
    </row>
    <row r="872" spans="17:18" x14ac:dyDescent="0.35">
      <c r="Q872" s="8">
        <v>0.83540773991702377</v>
      </c>
      <c r="R872" s="8">
        <v>0.66034767613971279</v>
      </c>
    </row>
    <row r="873" spans="17:18" x14ac:dyDescent="0.35">
      <c r="Q873" s="8">
        <v>0.77738083637168209</v>
      </c>
      <c r="R873" s="8">
        <v>0.57268921818589202</v>
      </c>
    </row>
    <row r="874" spans="17:18" x14ac:dyDescent="0.35">
      <c r="Q874" s="8">
        <v>0.76912937927235503</v>
      </c>
      <c r="R874" s="8">
        <v>0.5935669506077752</v>
      </c>
    </row>
    <row r="875" spans="17:18" x14ac:dyDescent="0.35">
      <c r="Q875" s="8">
        <v>0.78078152071139295</v>
      </c>
      <c r="R875" s="8">
        <v>0.57881633234336272</v>
      </c>
    </row>
    <row r="876" spans="17:18" x14ac:dyDescent="0.35">
      <c r="Q876" s="8">
        <v>0.83540800000000004</v>
      </c>
      <c r="R876" s="8">
        <v>0.552342</v>
      </c>
    </row>
    <row r="877" spans="17:18" x14ac:dyDescent="0.35">
      <c r="Q877" s="8">
        <v>0.83230899999999997</v>
      </c>
      <c r="R877" s="8">
        <v>0.459258</v>
      </c>
    </row>
    <row r="878" spans="17:18" x14ac:dyDescent="0.35">
      <c r="Q878" s="8">
        <v>0.83540800000000004</v>
      </c>
      <c r="R878" s="8">
        <v>0.55268799999999996</v>
      </c>
    </row>
    <row r="879" spans="17:18" x14ac:dyDescent="0.35">
      <c r="Q879" s="8">
        <v>0.83537399999999995</v>
      </c>
      <c r="R879" s="8">
        <v>0.54375899999999999</v>
      </c>
    </row>
    <row r="880" spans="17:18" x14ac:dyDescent="0.35">
      <c r="Q880" s="8">
        <v>0.82009399999999999</v>
      </c>
      <c r="R880" s="8">
        <v>0.55930800000000003</v>
      </c>
    </row>
    <row r="881" spans="17:18" x14ac:dyDescent="0.35">
      <c r="Q881" s="8">
        <v>0.82009399999999999</v>
      </c>
      <c r="R881" s="8">
        <v>0.54122199999999998</v>
      </c>
    </row>
    <row r="882" spans="17:18" x14ac:dyDescent="0.35">
      <c r="Q882" s="8">
        <v>0.82009399999999999</v>
      </c>
      <c r="R882" s="8">
        <v>0.54645600000000005</v>
      </c>
    </row>
    <row r="883" spans="17:18" x14ac:dyDescent="0.35">
      <c r="Q883" s="8">
        <v>0.83230862779541925</v>
      </c>
      <c r="R883" s="8">
        <v>0.54267455468637937</v>
      </c>
    </row>
    <row r="884" spans="17:18" x14ac:dyDescent="0.35">
      <c r="Q884" s="8">
        <v>0.83230899999999997</v>
      </c>
      <c r="R884" s="8">
        <v>0.61119199999999996</v>
      </c>
    </row>
    <row r="885" spans="17:18" x14ac:dyDescent="0.35">
      <c r="Q885" s="8">
        <v>0.83230899999999997</v>
      </c>
      <c r="R885" s="8">
        <v>0.608707</v>
      </c>
    </row>
    <row r="886" spans="17:18" x14ac:dyDescent="0.35">
      <c r="Q886" s="8">
        <v>0.83230862779541925</v>
      </c>
      <c r="R886" s="8">
        <v>0.60892807754267819</v>
      </c>
    </row>
    <row r="887" spans="17:18" x14ac:dyDescent="0.35">
      <c r="Q887" s="8">
        <v>0.83230862779541925</v>
      </c>
      <c r="R887" s="8">
        <v>0.62792378897146017</v>
      </c>
    </row>
    <row r="888" spans="17:18" x14ac:dyDescent="0.35">
      <c r="Q888" s="8">
        <v>0.83230862779541925</v>
      </c>
      <c r="R888" s="8">
        <v>0.58854802043139465</v>
      </c>
    </row>
    <row r="889" spans="17:18" x14ac:dyDescent="0.35">
      <c r="Q889" s="8">
        <v>0.83230862779541925</v>
      </c>
      <c r="R889" s="8">
        <v>0.62353662229736218</v>
      </c>
    </row>
    <row r="890" spans="17:18" x14ac:dyDescent="0.35">
      <c r="Q890" s="8">
        <v>0.83230862779541925</v>
      </c>
      <c r="R890" s="8">
        <v>0.61164262861899432</v>
      </c>
    </row>
    <row r="891" spans="17:18" x14ac:dyDescent="0.35">
      <c r="Q891" s="8">
        <v>0.83230862779541925</v>
      </c>
      <c r="R891" s="8">
        <v>0.55158014249502785</v>
      </c>
    </row>
    <row r="892" spans="17:18" x14ac:dyDescent="0.35">
      <c r="Q892" s="8">
        <v>0.83230862779541925</v>
      </c>
      <c r="R892" s="8">
        <v>0.62353662229736218</v>
      </c>
    </row>
    <row r="893" spans="17:18" x14ac:dyDescent="0.35">
      <c r="Q893" s="8">
        <v>0.83230862779541925</v>
      </c>
      <c r="R893" s="8">
        <v>0.61164262861899432</v>
      </c>
    </row>
    <row r="894" spans="17:18" x14ac:dyDescent="0.35">
      <c r="Q894" s="8">
        <v>0.83230862779541925</v>
      </c>
      <c r="R894" s="8">
        <v>0.55158014249502785</v>
      </c>
    </row>
    <row r="895" spans="17:18" x14ac:dyDescent="0.35">
      <c r="Q895" s="8">
        <v>0.83230862779541925</v>
      </c>
      <c r="R895" s="8">
        <v>0.57611995055849952</v>
      </c>
    </row>
    <row r="896" spans="17:18" x14ac:dyDescent="0.35">
      <c r="Q896" s="8">
        <v>0.83230862779541925</v>
      </c>
      <c r="R896" s="8">
        <v>0.5438846755601614</v>
      </c>
    </row>
    <row r="897" spans="17:18" x14ac:dyDescent="0.35">
      <c r="Q897" s="8">
        <v>0.83230862779541925</v>
      </c>
      <c r="R897" s="8">
        <v>0.53385298120274971</v>
      </c>
    </row>
    <row r="898" spans="17:18" x14ac:dyDescent="0.35">
      <c r="Q898" s="8">
        <v>0.83230862779541925</v>
      </c>
      <c r="R898" s="8">
        <v>0.52000985357363327</v>
      </c>
    </row>
    <row r="899" spans="17:18" x14ac:dyDescent="0.35">
      <c r="Q899" s="8">
        <v>0.83230862779541925</v>
      </c>
      <c r="R899" s="8">
        <v>0.54305296904327605</v>
      </c>
    </row>
    <row r="900" spans="17:18" x14ac:dyDescent="0.35">
      <c r="Q900" s="8">
        <v>0.83230862779541925</v>
      </c>
      <c r="R900" s="8" t="s">
        <v>366</v>
      </c>
    </row>
    <row r="901" spans="17:18" x14ac:dyDescent="0.35">
      <c r="Q901" s="8">
        <v>0.82935999999999999</v>
      </c>
      <c r="R901" s="8">
        <v>0.51994099999999999</v>
      </c>
    </row>
    <row r="902" spans="17:18" x14ac:dyDescent="0.35">
      <c r="Q902" s="8">
        <v>0.82935999999999999</v>
      </c>
      <c r="R902" s="8">
        <v>0.60255199999999998</v>
      </c>
    </row>
    <row r="903" spans="17:18" x14ac:dyDescent="0.35">
      <c r="Q903" s="8">
        <v>0.713785</v>
      </c>
      <c r="R903" s="8">
        <v>0.50422599999999995</v>
      </c>
    </row>
    <row r="904" spans="17:18" x14ac:dyDescent="0.35">
      <c r="Q904" s="8">
        <v>0.8282257528418534</v>
      </c>
      <c r="R904" s="8">
        <v>0.53482056848039372</v>
      </c>
    </row>
    <row r="905" spans="17:18" x14ac:dyDescent="0.35">
      <c r="Q905" s="8">
        <v>0.69193920925447872</v>
      </c>
      <c r="R905" s="8">
        <v>0.5192370021461602</v>
      </c>
    </row>
    <row r="906" spans="17:18" x14ac:dyDescent="0.35">
      <c r="Q906" s="8">
        <v>0.72406258834862647</v>
      </c>
      <c r="R906" s="8">
        <v>0.47632656377125127</v>
      </c>
    </row>
    <row r="907" spans="17:18" x14ac:dyDescent="0.35">
      <c r="Q907" s="8">
        <v>0.8293601003764115</v>
      </c>
      <c r="R907" s="8">
        <v>0.5914621021095986</v>
      </c>
    </row>
    <row r="908" spans="17:18" x14ac:dyDescent="0.35">
      <c r="Q908" s="8">
        <v>0.73763866877971473</v>
      </c>
      <c r="R908" s="8">
        <v>0.49253567835673151</v>
      </c>
    </row>
    <row r="909" spans="17:18" x14ac:dyDescent="0.35">
      <c r="Q909" s="8">
        <v>0.76135049172500369</v>
      </c>
      <c r="R909" s="8">
        <v>0.57649796497246908</v>
      </c>
    </row>
    <row r="910" spans="17:18" x14ac:dyDescent="0.35">
      <c r="Q910" s="8">
        <v>0.8293601003764115</v>
      </c>
      <c r="R910" s="8">
        <v>0.5914621021095986</v>
      </c>
    </row>
    <row r="911" spans="17:18" x14ac:dyDescent="0.35">
      <c r="Q911" s="8">
        <v>0.73763866877971473</v>
      </c>
      <c r="R911" s="8">
        <v>0.49253567835673151</v>
      </c>
    </row>
    <row r="912" spans="17:18" x14ac:dyDescent="0.35">
      <c r="Q912" s="8">
        <v>0.76135049172500369</v>
      </c>
      <c r="R912" s="8">
        <v>0.57649796497246908</v>
      </c>
    </row>
    <row r="913" spans="17:18" x14ac:dyDescent="0.35">
      <c r="Q913" s="8">
        <v>0.74445821162752179</v>
      </c>
      <c r="R913" s="8" t="s">
        <v>366</v>
      </c>
    </row>
    <row r="914" spans="17:18" x14ac:dyDescent="0.35">
      <c r="Q914" s="8">
        <v>0.74411685031938968</v>
      </c>
      <c r="R914" s="8">
        <v>0.53690442137203331</v>
      </c>
    </row>
    <row r="915" spans="17:18" x14ac:dyDescent="0.35">
      <c r="Q915" s="8">
        <v>0.74445821162752179</v>
      </c>
      <c r="R915" s="8">
        <v>0.44848701260951152</v>
      </c>
    </row>
    <row r="916" spans="17:18" x14ac:dyDescent="0.35">
      <c r="Q916" s="8">
        <v>0.70319705190399384</v>
      </c>
      <c r="R916" s="8">
        <v>0.54733437635008708</v>
      </c>
    </row>
    <row r="917" spans="17:18" x14ac:dyDescent="0.35">
      <c r="Q917" s="8">
        <v>0.60819091988263496</v>
      </c>
      <c r="R917" s="8">
        <v>0.37144187997811351</v>
      </c>
    </row>
    <row r="918" spans="17:18" x14ac:dyDescent="0.35">
      <c r="Q918" s="8">
        <v>0.8293601003764115</v>
      </c>
      <c r="R918" s="8">
        <v>0.49804616941426805</v>
      </c>
    </row>
    <row r="919" spans="17:18" x14ac:dyDescent="0.35">
      <c r="Q919" s="8">
        <v>0.83621900000000005</v>
      </c>
      <c r="R919" s="8">
        <v>0.721638</v>
      </c>
    </row>
    <row r="920" spans="17:18" x14ac:dyDescent="0.35">
      <c r="Q920" s="8">
        <v>0.83616299999999999</v>
      </c>
      <c r="R920" s="8">
        <v>0.60547300000000004</v>
      </c>
    </row>
    <row r="921" spans="17:18" x14ac:dyDescent="0.35">
      <c r="Q921" s="8">
        <v>0.83616299999999999</v>
      </c>
      <c r="R921" s="8">
        <v>0.59808099999999997</v>
      </c>
    </row>
    <row r="922" spans="17:18" x14ac:dyDescent="0.35">
      <c r="Q922" s="8">
        <v>0.83616299999999999</v>
      </c>
      <c r="R922" s="8">
        <v>0.609039</v>
      </c>
    </row>
    <row r="923" spans="17:18" x14ac:dyDescent="0.35">
      <c r="Q923" s="8">
        <v>0.75442483973378716</v>
      </c>
      <c r="R923" s="8">
        <v>0.59915587842547402</v>
      </c>
    </row>
    <row r="924" spans="17:18" x14ac:dyDescent="0.35">
      <c r="Q924" s="8">
        <v>0.83615257048092873</v>
      </c>
      <c r="R924" s="8">
        <v>0.52060187537973968</v>
      </c>
    </row>
    <row r="925" spans="17:18" x14ac:dyDescent="0.35">
      <c r="Q925" s="8">
        <v>0.76282058516858675</v>
      </c>
      <c r="R925" s="8">
        <v>0.62165915441644093</v>
      </c>
    </row>
    <row r="926" spans="17:18" x14ac:dyDescent="0.35">
      <c r="Q926" s="8">
        <v>0.76279434395052403</v>
      </c>
      <c r="R926" s="8">
        <v>0.5095532811578678</v>
      </c>
    </row>
    <row r="927" spans="17:18" x14ac:dyDescent="0.35">
      <c r="Q927" s="8">
        <v>0.83615257048092873</v>
      </c>
      <c r="R927" s="8">
        <v>0.699710848529427</v>
      </c>
    </row>
    <row r="928" spans="17:18" x14ac:dyDescent="0.35">
      <c r="Q928" s="8">
        <v>0.75940324263966452</v>
      </c>
      <c r="R928" s="8">
        <v>0.57612140935730549</v>
      </c>
    </row>
    <row r="929" spans="17:18" x14ac:dyDescent="0.35">
      <c r="Q929" s="8">
        <v>0.76279434395052403</v>
      </c>
      <c r="R929" s="8">
        <v>0.5095532811578678</v>
      </c>
    </row>
    <row r="930" spans="17:18" x14ac:dyDescent="0.35">
      <c r="Q930" s="8">
        <v>0.83615257048092873</v>
      </c>
      <c r="R930" s="8">
        <v>0.699710848529427</v>
      </c>
    </row>
    <row r="931" spans="17:18" x14ac:dyDescent="0.35">
      <c r="Q931" s="8">
        <v>0.75940324263966452</v>
      </c>
      <c r="R931" s="8">
        <v>0.57612140935730549</v>
      </c>
    </row>
    <row r="932" spans="17:18" x14ac:dyDescent="0.35">
      <c r="Q932" s="8">
        <v>0.83606901128069011</v>
      </c>
      <c r="R932" s="8">
        <v>0.46773552131652874</v>
      </c>
    </row>
    <row r="933" spans="17:18" x14ac:dyDescent="0.35">
      <c r="Q933" s="8">
        <v>0.83621890547263678</v>
      </c>
      <c r="R933" s="8">
        <v>0.61247583113079673</v>
      </c>
    </row>
    <row r="934" spans="17:18" x14ac:dyDescent="0.35">
      <c r="Q934" s="8">
        <v>0.83615257048092873</v>
      </c>
      <c r="R934" s="8">
        <v>0.58114685529341381</v>
      </c>
    </row>
    <row r="935" spans="17:18" x14ac:dyDescent="0.35">
      <c r="Q935" s="8">
        <v>0.75994359970269376</v>
      </c>
      <c r="R935" s="8" t="s">
        <v>366</v>
      </c>
    </row>
    <row r="936" spans="17:18" x14ac:dyDescent="0.35">
      <c r="Q936" s="8">
        <v>0.83616343857787212</v>
      </c>
      <c r="R936" s="8">
        <v>0.55817073325325284</v>
      </c>
    </row>
    <row r="937" spans="17:18" x14ac:dyDescent="0.35">
      <c r="Q937" s="8">
        <v>0.83616343857787212</v>
      </c>
      <c r="R937" s="8">
        <v>0.62455770411407907</v>
      </c>
    </row>
    <row r="938" spans="17:18" x14ac:dyDescent="0.35">
      <c r="Q938" s="8">
        <v>0.69491960921545881</v>
      </c>
      <c r="R938" s="8">
        <v>0.59517315542945415</v>
      </c>
    </row>
    <row r="939" spans="17:18" x14ac:dyDescent="0.35">
      <c r="Q939" s="8">
        <v>0.65369543867837399</v>
      </c>
      <c r="R939" s="8">
        <v>0.4786036642115935</v>
      </c>
    </row>
    <row r="940" spans="17:18" x14ac:dyDescent="0.35">
      <c r="Q940" s="8">
        <v>0.80435656836461122</v>
      </c>
      <c r="R940" s="8">
        <v>0.54022054088857718</v>
      </c>
    </row>
    <row r="941" spans="17:18" x14ac:dyDescent="0.35">
      <c r="Q941" s="8">
        <v>0.69491960921545881</v>
      </c>
      <c r="R941" s="8">
        <v>0.59517315542945415</v>
      </c>
    </row>
    <row r="942" spans="17:18" x14ac:dyDescent="0.35">
      <c r="Q942" s="8">
        <v>0.65369543867837399</v>
      </c>
      <c r="R942" s="8">
        <v>0.4786036642115935</v>
      </c>
    </row>
    <row r="943" spans="17:18" x14ac:dyDescent="0.35">
      <c r="Q943" s="8">
        <v>0.80435656836461122</v>
      </c>
      <c r="R943" s="8">
        <v>0.54022054088857718</v>
      </c>
    </row>
    <row r="944" spans="17:18" x14ac:dyDescent="0.35">
      <c r="Q944" s="8">
        <v>0.57882368976344534</v>
      </c>
      <c r="R944" s="8">
        <v>0.45823303924362846</v>
      </c>
    </row>
    <row r="945" spans="17:18" x14ac:dyDescent="0.35">
      <c r="Q945" s="8">
        <v>0.73896697068656036</v>
      </c>
      <c r="R945" s="8">
        <v>0.65684430878411182</v>
      </c>
    </row>
    <row r="946" spans="17:18" x14ac:dyDescent="0.35">
      <c r="Q946" s="8">
        <v>0.80428954423592491</v>
      </c>
      <c r="R946" s="8">
        <v>0.50862597899447792</v>
      </c>
    </row>
    <row r="947" spans="17:18" x14ac:dyDescent="0.35">
      <c r="Q947" s="8">
        <v>0.57615610410718976</v>
      </c>
      <c r="R947" s="8">
        <v>0.34907847446853091</v>
      </c>
    </row>
    <row r="948" spans="17:18" x14ac:dyDescent="0.35">
      <c r="Q948" s="8">
        <v>0.80435656836461122</v>
      </c>
      <c r="R948" s="8">
        <v>0.60285927519522509</v>
      </c>
    </row>
    <row r="949" spans="17:18" x14ac:dyDescent="0.35">
      <c r="Q949" s="8">
        <v>0.75818616919072823</v>
      </c>
      <c r="R949" s="8">
        <v>0.51454541890053362</v>
      </c>
    </row>
    <row r="950" spans="17:18" x14ac:dyDescent="0.35">
      <c r="Q950" s="8">
        <v>0.82390600000000003</v>
      </c>
      <c r="R950" s="8">
        <v>0.54388199999999998</v>
      </c>
    </row>
    <row r="951" spans="17:18" x14ac:dyDescent="0.35">
      <c r="Q951" s="8">
        <v>0.82389500000000004</v>
      </c>
      <c r="R951" s="8">
        <v>0.58386099999999996</v>
      </c>
    </row>
    <row r="952" spans="17:18" x14ac:dyDescent="0.35">
      <c r="Q952" s="8">
        <v>0.82389500000000004</v>
      </c>
      <c r="R952" s="8">
        <v>0.56623100000000004</v>
      </c>
    </row>
    <row r="953" spans="17:18" x14ac:dyDescent="0.35">
      <c r="Q953" s="8">
        <v>0.82389500000000004</v>
      </c>
      <c r="R953" s="8">
        <v>0.55557199999999995</v>
      </c>
    </row>
    <row r="954" spans="17:18" x14ac:dyDescent="0.35">
      <c r="Q954" s="8">
        <v>0.82389549571754261</v>
      </c>
      <c r="R954" s="8">
        <v>0.60486480671467546</v>
      </c>
    </row>
    <row r="955" spans="17:18" x14ac:dyDescent="0.35">
      <c r="Q955" s="8">
        <v>-15.481900452488702</v>
      </c>
      <c r="R955" s="8">
        <v>1.0004371732758985</v>
      </c>
    </row>
    <row r="956" spans="17:18" x14ac:dyDescent="0.35">
      <c r="Q956" s="8">
        <v>0.82389549571754261</v>
      </c>
      <c r="R956" s="8">
        <v>0.5569741371396616</v>
      </c>
    </row>
    <row r="957" spans="17:18" x14ac:dyDescent="0.35">
      <c r="Q957" s="8">
        <v>0.82389549571754261</v>
      </c>
      <c r="R957" s="8">
        <v>0.58292548489464324</v>
      </c>
    </row>
    <row r="958" spans="17:18" x14ac:dyDescent="0.35">
      <c r="Q958" s="8">
        <v>0.82389549571754261</v>
      </c>
      <c r="R958" s="8">
        <v>0.60015538692255166</v>
      </c>
    </row>
    <row r="959" spans="17:18" x14ac:dyDescent="0.35">
      <c r="Q959" s="8">
        <v>0.82389549571754261</v>
      </c>
      <c r="R959" s="8">
        <v>0.57618391822274895</v>
      </c>
    </row>
    <row r="960" spans="17:18" x14ac:dyDescent="0.35">
      <c r="Q960" s="8">
        <v>0.74805320782492268</v>
      </c>
      <c r="R960" s="8">
        <v>0.45663739870203324</v>
      </c>
    </row>
    <row r="961" spans="17:18" x14ac:dyDescent="0.35">
      <c r="Q961" s="8">
        <v>0.73574188066902058</v>
      </c>
      <c r="R961" s="8">
        <v>0.50962807617517158</v>
      </c>
    </row>
    <row r="962" spans="17:18" x14ac:dyDescent="0.35">
      <c r="Q962" s="8">
        <v>0.74805320782492268</v>
      </c>
      <c r="R962" s="8">
        <v>0.45663739870203324</v>
      </c>
    </row>
    <row r="963" spans="17:18" x14ac:dyDescent="0.35">
      <c r="Q963" s="8">
        <v>0.73574188066902058</v>
      </c>
      <c r="R963" s="8">
        <v>0.50962807617517158</v>
      </c>
    </row>
    <row r="964" spans="17:18" x14ac:dyDescent="0.35">
      <c r="Q964" s="8">
        <v>0.82390634627233517</v>
      </c>
      <c r="R964" s="8">
        <v>0.48279064120734472</v>
      </c>
    </row>
    <row r="965" spans="17:18" x14ac:dyDescent="0.35">
      <c r="Q965" s="8">
        <v>0.82390634627233517</v>
      </c>
      <c r="R965" s="8">
        <v>0.56545196988241941</v>
      </c>
    </row>
    <row r="966" spans="17:18" x14ac:dyDescent="0.35">
      <c r="Q966" s="8">
        <v>0.72616413913457567</v>
      </c>
      <c r="R966" s="8">
        <v>0.52450242273910685</v>
      </c>
    </row>
    <row r="967" spans="17:18" x14ac:dyDescent="0.35">
      <c r="Q967" s="8">
        <v>0.73778100000000002</v>
      </c>
      <c r="R967" s="8" t="s">
        <v>366</v>
      </c>
    </row>
    <row r="968" spans="17:18" x14ac:dyDescent="0.35">
      <c r="Q968" s="8">
        <v>0.82595099999999999</v>
      </c>
      <c r="R968" s="8">
        <v>0.59061300000000005</v>
      </c>
    </row>
    <row r="969" spans="17:18" x14ac:dyDescent="0.35">
      <c r="Q969" s="8">
        <v>0.82595099999999999</v>
      </c>
      <c r="R969" s="8">
        <v>0.53819300000000003</v>
      </c>
    </row>
    <row r="970" spans="17:18" x14ac:dyDescent="0.35">
      <c r="Q970" s="8">
        <v>0.82595149367707255</v>
      </c>
      <c r="R970" s="8">
        <v>0.50705577206201746</v>
      </c>
    </row>
    <row r="971" spans="17:18" x14ac:dyDescent="0.35">
      <c r="Q971" s="8">
        <v>0.82595149367707255</v>
      </c>
      <c r="R971" s="8">
        <v>0.55948931332803131</v>
      </c>
    </row>
    <row r="972" spans="17:18" x14ac:dyDescent="0.35">
      <c r="Q972" s="8">
        <v>0.82595149367707255</v>
      </c>
      <c r="R972" s="8">
        <v>0.5519302676837099</v>
      </c>
    </row>
    <row r="973" spans="17:18" x14ac:dyDescent="0.35">
      <c r="Q973" s="8">
        <v>0.82595149367707255</v>
      </c>
      <c r="R973" s="8">
        <v>0.50454217928074918</v>
      </c>
    </row>
    <row r="974" spans="17:18" x14ac:dyDescent="0.35">
      <c r="Q974" s="8">
        <v>0.28506235526567381</v>
      </c>
      <c r="R974" s="8" t="s">
        <v>366</v>
      </c>
    </row>
    <row r="975" spans="17:18" x14ac:dyDescent="0.35">
      <c r="Q975" s="8">
        <v>0.82595149367707255</v>
      </c>
      <c r="R975" s="8">
        <v>0.52896035019483512</v>
      </c>
    </row>
    <row r="976" spans="17:18" x14ac:dyDescent="0.35">
      <c r="Q976" s="8">
        <v>0.82595149367707255</v>
      </c>
      <c r="R976" s="8">
        <v>0.50454217928074918</v>
      </c>
    </row>
    <row r="977" spans="17:18" x14ac:dyDescent="0.35">
      <c r="Q977" s="8">
        <v>0.28506235526567381</v>
      </c>
      <c r="R977" s="8" t="s">
        <v>366</v>
      </c>
    </row>
    <row r="978" spans="17:18" x14ac:dyDescent="0.35">
      <c r="Q978" s="8">
        <v>0.82595149367707255</v>
      </c>
      <c r="R978" s="8">
        <v>0.52896035019483512</v>
      </c>
    </row>
    <row r="979" spans="17:18" x14ac:dyDescent="0.35">
      <c r="Q979" s="8">
        <v>0.26337421893080315</v>
      </c>
      <c r="R979" s="8" t="s">
        <v>366</v>
      </c>
    </row>
    <row r="980" spans="17:18" x14ac:dyDescent="0.35">
      <c r="Q980" s="8">
        <v>0.1753153940653932</v>
      </c>
      <c r="R980" s="8" t="s">
        <v>366</v>
      </c>
    </row>
    <row r="981" spans="17:18" x14ac:dyDescent="0.35">
      <c r="Q981" s="8">
        <v>0.81953849188087569</v>
      </c>
      <c r="R981" s="8">
        <v>0.58933974587953863</v>
      </c>
    </row>
    <row r="982" spans="17:18" x14ac:dyDescent="0.35">
      <c r="Q982" s="8">
        <v>0.81953849188087569</v>
      </c>
      <c r="R982" s="8">
        <v>0.55412333048270745</v>
      </c>
    </row>
    <row r="983" spans="17:18" x14ac:dyDescent="0.35">
      <c r="Q983" s="8">
        <v>0.81953849188087569</v>
      </c>
      <c r="R983" s="8">
        <v>0.63096976923134518</v>
      </c>
    </row>
    <row r="984" spans="17:18" x14ac:dyDescent="0.35">
      <c r="Q984" s="8">
        <v>0.81953849188087569</v>
      </c>
      <c r="R984" s="8">
        <v>0.55321334727684113</v>
      </c>
    </row>
    <row r="985" spans="17:18" x14ac:dyDescent="0.35">
      <c r="Q985" s="8">
        <v>0.81953849188087569</v>
      </c>
      <c r="R985" s="8">
        <v>0.58140013763744613</v>
      </c>
    </row>
    <row r="986" spans="17:18" x14ac:dyDescent="0.35">
      <c r="Q986" s="8">
        <v>0.81953849188087569</v>
      </c>
      <c r="R986" s="8">
        <v>0.59577269355858431</v>
      </c>
    </row>
    <row r="987" spans="17:18" x14ac:dyDescent="0.35">
      <c r="Q987" s="8">
        <v>0.81953849188087569</v>
      </c>
      <c r="R987" s="8">
        <v>0.57626332318035745</v>
      </c>
    </row>
    <row r="988" spans="17:18" x14ac:dyDescent="0.35">
      <c r="Q988" s="8">
        <v>0.81953849188087569</v>
      </c>
      <c r="R988" s="8">
        <v>0.61810725712619885</v>
      </c>
    </row>
    <row r="989" spans="17:18" x14ac:dyDescent="0.35">
      <c r="Q989" s="8">
        <v>0.77254809268564195</v>
      </c>
      <c r="R989" s="8" t="s">
        <v>366</v>
      </c>
    </row>
    <row r="990" spans="17:18" x14ac:dyDescent="0.35">
      <c r="Q990" s="8">
        <v>0.81953849188087569</v>
      </c>
      <c r="R990" s="8">
        <v>0.57626332318035745</v>
      </c>
    </row>
    <row r="991" spans="17:18" x14ac:dyDescent="0.35">
      <c r="Q991" s="8">
        <v>0.81953849188087569</v>
      </c>
      <c r="R991" s="8">
        <v>0.61810725712619885</v>
      </c>
    </row>
    <row r="992" spans="17:18" x14ac:dyDescent="0.35">
      <c r="Q992" s="8">
        <v>0.77254809268564195</v>
      </c>
      <c r="R992" s="8" t="s">
        <v>366</v>
      </c>
    </row>
    <row r="993" spans="17:18" x14ac:dyDescent="0.35">
      <c r="Q993" s="8">
        <v>0.81953849188087569</v>
      </c>
      <c r="R993" s="8">
        <v>0.56977004282180743</v>
      </c>
    </row>
    <row r="994" spans="17:18" x14ac:dyDescent="0.35">
      <c r="Q994" s="8">
        <v>0.81953849188087569</v>
      </c>
      <c r="R994" s="8">
        <v>0.58120648306186928</v>
      </c>
    </row>
    <row r="995" spans="17:18" x14ac:dyDescent="0.35">
      <c r="Q995" s="8">
        <v>0.81953849188087569</v>
      </c>
      <c r="R995" s="8">
        <v>0.57968242150403548</v>
      </c>
    </row>
    <row r="996" spans="17:18" x14ac:dyDescent="0.35">
      <c r="Q996" s="8">
        <v>0.81953849188087569</v>
      </c>
      <c r="R996" s="8">
        <v>0.57266278008654292</v>
      </c>
    </row>
    <row r="997" spans="17:18" x14ac:dyDescent="0.35">
      <c r="Q997" s="8">
        <v>0.81953849188087569</v>
      </c>
      <c r="R997" s="8">
        <v>0.57787608400337098</v>
      </c>
    </row>
    <row r="998" spans="17:18" x14ac:dyDescent="0.35">
      <c r="Q998" s="8">
        <v>0.19421138601401655</v>
      </c>
      <c r="R998" s="8" t="s">
        <v>366</v>
      </c>
    </row>
    <row r="999" spans="17:18" x14ac:dyDescent="0.35">
      <c r="Q999" s="8">
        <v>0.8247116968698518</v>
      </c>
      <c r="R999" s="8">
        <v>0.65081950992777082</v>
      </c>
    </row>
    <row r="1000" spans="17:18" x14ac:dyDescent="0.35">
      <c r="Q1000" s="8">
        <v>0.8247116968698518</v>
      </c>
      <c r="R1000" s="8">
        <v>0.58030704435320835</v>
      </c>
    </row>
    <row r="1001" spans="17:18" x14ac:dyDescent="0.35">
      <c r="Q1001" s="8">
        <v>0.8247116968698518</v>
      </c>
      <c r="R1001" s="8">
        <v>0.55045670371452249</v>
      </c>
    </row>
    <row r="1002" spans="17:18" x14ac:dyDescent="0.35">
      <c r="Q1002" s="8">
        <v>0.8247116968698518</v>
      </c>
      <c r="R1002" s="8">
        <v>0.55740277318020115</v>
      </c>
    </row>
    <row r="1003" spans="17:18" x14ac:dyDescent="0.35">
      <c r="Q1003" s="8">
        <v>0.8247116968698518</v>
      </c>
      <c r="R1003" s="8">
        <v>0.56076004296282678</v>
      </c>
    </row>
    <row r="1004" spans="17:18" x14ac:dyDescent="0.35">
      <c r="Q1004" s="8">
        <v>0.8247116968698518</v>
      </c>
      <c r="R1004" s="8">
        <v>0.5891233038160959</v>
      </c>
    </row>
    <row r="1005" spans="17:18" x14ac:dyDescent="0.35">
      <c r="Q1005" s="8">
        <v>0.8247116968698518</v>
      </c>
      <c r="R1005" s="8">
        <v>0.55740277318020115</v>
      </c>
    </row>
    <row r="1006" spans="17:18" x14ac:dyDescent="0.35">
      <c r="Q1006" s="8">
        <v>0.8247116968698518</v>
      </c>
      <c r="R1006" s="8">
        <v>0.56076004296282678</v>
      </c>
    </row>
    <row r="1007" spans="17:18" x14ac:dyDescent="0.35">
      <c r="Q1007" s="8">
        <v>0.8247116968698518</v>
      </c>
      <c r="R1007" s="8">
        <v>0.5891233038160959</v>
      </c>
    </row>
    <row r="1008" spans="17:18" x14ac:dyDescent="0.35">
      <c r="Q1008" s="8">
        <v>0.8247116968698518</v>
      </c>
      <c r="R1008" s="8">
        <v>0.54917487403382759</v>
      </c>
    </row>
    <row r="1009" spans="17:18" x14ac:dyDescent="0.35">
      <c r="Q1009" s="8">
        <v>0.8247116968698518</v>
      </c>
      <c r="R1009" s="8">
        <v>0.58122795307640829</v>
      </c>
    </row>
    <row r="1010" spans="17:18" x14ac:dyDescent="0.35">
      <c r="Q1010" s="8">
        <v>0.81365335906404535</v>
      </c>
      <c r="R1010" s="8">
        <v>0.52952854823984452</v>
      </c>
    </row>
    <row r="1011" spans="17:18" x14ac:dyDescent="0.35">
      <c r="Q1011" s="8">
        <v>0.64183012687458985</v>
      </c>
      <c r="R1011" s="8">
        <v>0.42944124512738813</v>
      </c>
    </row>
    <row r="1012" spans="17:18" x14ac:dyDescent="0.35">
      <c r="Q1012" s="8">
        <v>0.74560773911686695</v>
      </c>
      <c r="R1012" s="8">
        <v>0.48488137290094613</v>
      </c>
    </row>
    <row r="1013" spans="17:18" x14ac:dyDescent="0.35">
      <c r="Q1013" s="8">
        <v>0.81365335906404535</v>
      </c>
      <c r="R1013" s="8">
        <v>0.52952854823984452</v>
      </c>
    </row>
    <row r="1014" spans="17:18" x14ac:dyDescent="0.35">
      <c r="Q1014" s="8">
        <v>0.64183012687458985</v>
      </c>
      <c r="R1014" s="8">
        <v>0.42944124512738813</v>
      </c>
    </row>
    <row r="1015" spans="17:18" x14ac:dyDescent="0.35">
      <c r="Q1015" s="8">
        <v>0.74560773911686695</v>
      </c>
      <c r="R1015" s="8">
        <v>0.48488137290094613</v>
      </c>
    </row>
    <row r="1016" spans="17:18" x14ac:dyDescent="0.35">
      <c r="Q1016" s="8">
        <v>0.67061267153688564</v>
      </c>
      <c r="R1016" s="8">
        <v>0.44277377906317816</v>
      </c>
    </row>
    <row r="1017" spans="17:18" x14ac:dyDescent="0.35">
      <c r="Q1017" s="8">
        <v>0.66413888872282756</v>
      </c>
      <c r="R1017" s="8">
        <v>0.36293844042886436</v>
      </c>
    </row>
    <row r="1018" spans="17:18" x14ac:dyDescent="0.35">
      <c r="Q1018" s="8">
        <v>0.75986591926987967</v>
      </c>
      <c r="R1018" s="8">
        <v>0.57271348326206795</v>
      </c>
    </row>
    <row r="1019" spans="17:18" x14ac:dyDescent="0.35">
      <c r="Q1019" s="8">
        <v>0.75206461098744015</v>
      </c>
      <c r="R1019" s="8">
        <v>0.64260006597277708</v>
      </c>
    </row>
    <row r="1020" spans="17:18" x14ac:dyDescent="0.35">
      <c r="Q1020" s="8">
        <v>0.75444779474925139</v>
      </c>
      <c r="R1020" s="8">
        <v>0.75144901145220455</v>
      </c>
    </row>
    <row r="1021" spans="17:18" x14ac:dyDescent="0.35">
      <c r="Q1021" s="8">
        <v>0.83210310486233152</v>
      </c>
      <c r="R1021" s="8">
        <v>0.68702219062211267</v>
      </c>
    </row>
    <row r="1022" spans="17:18" x14ac:dyDescent="0.35">
      <c r="Q1022" s="8">
        <v>0.75459768748563594</v>
      </c>
      <c r="R1022" s="8">
        <v>0.57169900707198096</v>
      </c>
    </row>
    <row r="1023" spans="17:18" x14ac:dyDescent="0.35">
      <c r="Q1023" s="8">
        <v>0.76022550779595377</v>
      </c>
      <c r="R1023" s="8">
        <v>0.75474604780080756</v>
      </c>
    </row>
    <row r="1024" spans="17:18" x14ac:dyDescent="0.35">
      <c r="Q1024" s="8">
        <v>0.83210310486233152</v>
      </c>
      <c r="R1024" s="8">
        <v>0.69323559384646505</v>
      </c>
    </row>
    <row r="1025" spans="17:18" x14ac:dyDescent="0.35">
      <c r="Q1025" s="8">
        <v>0.83209326849844745</v>
      </c>
      <c r="R1025" s="8">
        <v>0.57558288762870657</v>
      </c>
    </row>
    <row r="1026" spans="17:18" x14ac:dyDescent="0.35">
      <c r="Q1026" s="8">
        <v>0.70801340220577957</v>
      </c>
      <c r="R1026" s="8">
        <v>0.54593536677525689</v>
      </c>
    </row>
    <row r="1027" spans="17:18" x14ac:dyDescent="0.35">
      <c r="Q1027" s="8">
        <v>0.72761275234274758</v>
      </c>
      <c r="R1027" s="8">
        <v>0.6198784183934658</v>
      </c>
    </row>
    <row r="1028" spans="17:18" x14ac:dyDescent="0.35">
      <c r="Q1028" s="8">
        <v>0.83209326849844745</v>
      </c>
      <c r="R1028" s="8">
        <v>0.57558288762870657</v>
      </c>
    </row>
    <row r="1029" spans="17:18" x14ac:dyDescent="0.35">
      <c r="Q1029" s="8">
        <v>0.70801340220577957</v>
      </c>
      <c r="R1029" s="8">
        <v>0.54593536677525689</v>
      </c>
    </row>
    <row r="1030" spans="17:18" x14ac:dyDescent="0.35">
      <c r="Q1030" s="8">
        <v>0.72761275234274758</v>
      </c>
      <c r="R1030" s="8">
        <v>0.6198784183934658</v>
      </c>
    </row>
    <row r="1031" spans="17:18" x14ac:dyDescent="0.35">
      <c r="Q1031" s="8">
        <v>0.77625503258394002</v>
      </c>
      <c r="R1031" s="8">
        <v>0.55858008745975618</v>
      </c>
    </row>
    <row r="1032" spans="17:18" x14ac:dyDescent="0.35">
      <c r="Q1032" s="8">
        <v>0.70268515481742788</v>
      </c>
      <c r="R1032" s="8">
        <v>0.69750958272342745</v>
      </c>
    </row>
    <row r="1033" spans="17:18" x14ac:dyDescent="0.35">
      <c r="Q1033" s="8">
        <v>0.83209326849844745</v>
      </c>
      <c r="R1033" s="8">
        <v>0.5401204694330588</v>
      </c>
    </row>
    <row r="1034" spans="17:18" x14ac:dyDescent="0.35">
      <c r="Q1034" s="8">
        <v>0.83209326849844745</v>
      </c>
      <c r="R1034" s="8">
        <v>0.56481510626238851</v>
      </c>
    </row>
    <row r="1035" spans="17:18" x14ac:dyDescent="0.35">
      <c r="Q1035" s="8">
        <v>0.83210310486233152</v>
      </c>
      <c r="R1035" s="8">
        <v>0.53901550435487722</v>
      </c>
    </row>
    <row r="1036" spans="17:18" x14ac:dyDescent="0.35">
      <c r="Q1036" s="8">
        <v>0.83209326849844745</v>
      </c>
      <c r="R1036" s="8">
        <v>0.72182859377168662</v>
      </c>
    </row>
    <row r="1037" spans="17:18" x14ac:dyDescent="0.35">
      <c r="Q1037" s="8">
        <v>0.80432780847145491</v>
      </c>
      <c r="R1037" s="8">
        <v>0.51611488984284359</v>
      </c>
    </row>
    <row r="1038" spans="17:18" x14ac:dyDescent="0.35">
      <c r="Q1038" s="8">
        <v>0.80432780847145491</v>
      </c>
      <c r="R1038" s="8">
        <v>0.56769406669088229</v>
      </c>
    </row>
    <row r="1039" spans="17:18" x14ac:dyDescent="0.35">
      <c r="Q1039" s="8">
        <v>0.80432780847145491</v>
      </c>
      <c r="R1039" s="8">
        <v>0.55422576548170532</v>
      </c>
    </row>
    <row r="1040" spans="17:18" x14ac:dyDescent="0.35">
      <c r="Q1040" s="8">
        <v>0.80432780847145491</v>
      </c>
      <c r="R1040" s="8">
        <v>0.58486550579085539</v>
      </c>
    </row>
    <row r="1041" spans="17:18" x14ac:dyDescent="0.35">
      <c r="Q1041" s="8">
        <v>0.80432780847145491</v>
      </c>
      <c r="R1041" s="8">
        <v>0.5693149545675833</v>
      </c>
    </row>
    <row r="1042" spans="17:18" x14ac:dyDescent="0.35">
      <c r="Q1042" s="8">
        <v>0.80432780847145491</v>
      </c>
      <c r="R1042" s="8">
        <v>0.58368802350907301</v>
      </c>
    </row>
    <row r="1043" spans="17:18" x14ac:dyDescent="0.35">
      <c r="Q1043" s="8">
        <v>0.80432780847145491</v>
      </c>
      <c r="R1043" s="8">
        <v>0.59966615737277806</v>
      </c>
    </row>
    <row r="1044" spans="17:18" x14ac:dyDescent="0.35">
      <c r="Q1044" s="8">
        <v>0.80432780847145491</v>
      </c>
      <c r="R1044" s="8">
        <v>0.58579064675831871</v>
      </c>
    </row>
    <row r="1045" spans="17:18" x14ac:dyDescent="0.35">
      <c r="Q1045" s="8">
        <v>0.80432780847145491</v>
      </c>
      <c r="R1045" s="8">
        <v>0.59079479086081388</v>
      </c>
    </row>
    <row r="1046" spans="17:18" x14ac:dyDescent="0.35">
      <c r="Q1046" s="8">
        <v>0.80432780847145491</v>
      </c>
      <c r="R1046" s="8">
        <v>0.59966615737277806</v>
      </c>
    </row>
    <row r="1047" spans="17:18" x14ac:dyDescent="0.35">
      <c r="Q1047" s="8">
        <v>0.80432780847145491</v>
      </c>
      <c r="R1047" s="8">
        <v>0.58579064675831871</v>
      </c>
    </row>
    <row r="1048" spans="17:18" x14ac:dyDescent="0.35">
      <c r="Q1048" s="8">
        <v>0.80432780847145491</v>
      </c>
      <c r="R1048" s="8">
        <v>0.59079479086081388</v>
      </c>
    </row>
    <row r="1049" spans="17:18" x14ac:dyDescent="0.35">
      <c r="Q1049" s="8">
        <v>0.80432780847145491</v>
      </c>
      <c r="R1049" s="8">
        <v>0.5992150154348459</v>
      </c>
    </row>
    <row r="1050" spans="17:18" x14ac:dyDescent="0.35">
      <c r="Q1050" s="8">
        <v>0.80432780847145491</v>
      </c>
      <c r="R1050" s="8">
        <v>0.55356396751544146</v>
      </c>
    </row>
    <row r="1051" spans="17:18" x14ac:dyDescent="0.35">
      <c r="Q1051" s="8">
        <v>0.80432780847145491</v>
      </c>
      <c r="R1051" s="8">
        <v>0.56650847874517285</v>
      </c>
    </row>
    <row r="1052" spans="17:18" x14ac:dyDescent="0.35">
      <c r="Q1052" s="8">
        <v>0.80432780847145491</v>
      </c>
      <c r="R1052" s="8">
        <v>0.59464703484528691</v>
      </c>
    </row>
    <row r="1053" spans="17:18" x14ac:dyDescent="0.35">
      <c r="Q1053" s="8">
        <v>0.80432780847145491</v>
      </c>
      <c r="R1053" s="8">
        <v>0.57531335304806874</v>
      </c>
    </row>
    <row r="1054" spans="17:18" x14ac:dyDescent="0.35">
      <c r="Q1054" s="8">
        <v>0.80432780847145491</v>
      </c>
      <c r="R1054" s="8">
        <v>0.56420499308300109</v>
      </c>
    </row>
    <row r="1055" spans="17:18" x14ac:dyDescent="0.35">
      <c r="Q1055" s="8">
        <v>0.81856080041046697</v>
      </c>
      <c r="R1055" s="8">
        <v>0.666443668479058</v>
      </c>
    </row>
    <row r="1056" spans="17:18" x14ac:dyDescent="0.35">
      <c r="Q1056" s="8">
        <v>0.81856080041046697</v>
      </c>
      <c r="R1056" s="8">
        <v>0.55350097169318024</v>
      </c>
    </row>
    <row r="1057" spans="17:18" x14ac:dyDescent="0.35">
      <c r="Q1057" s="8">
        <v>0.81856080041046697</v>
      </c>
      <c r="R1057" s="8">
        <v>0.62359464564996081</v>
      </c>
    </row>
    <row r="1058" spans="17:18" x14ac:dyDescent="0.35">
      <c r="Q1058" s="8">
        <v>0.81856080041046697</v>
      </c>
      <c r="R1058" s="8">
        <v>0.50365745392218397</v>
      </c>
    </row>
    <row r="1059" spans="17:18" x14ac:dyDescent="0.35">
      <c r="Q1059" s="8">
        <v>0.81856080041046697</v>
      </c>
      <c r="R1059" s="8">
        <v>0.46124953510543065</v>
      </c>
    </row>
    <row r="1060" spans="17:18" x14ac:dyDescent="0.35">
      <c r="Q1060" s="8">
        <v>0.81856080041046697</v>
      </c>
      <c r="R1060" s="8">
        <v>0.62881768832319118</v>
      </c>
    </row>
    <row r="1061" spans="17:18" x14ac:dyDescent="0.35">
      <c r="Q1061" s="8">
        <v>0.81856080041046697</v>
      </c>
      <c r="R1061" s="8">
        <v>0.50365745392218397</v>
      </c>
    </row>
    <row r="1062" spans="17:18" x14ac:dyDescent="0.35">
      <c r="Q1062" s="8">
        <v>0.81856080041046697</v>
      </c>
      <c r="R1062" s="8">
        <v>0.46124953510543065</v>
      </c>
    </row>
    <row r="1063" spans="17:18" x14ac:dyDescent="0.35">
      <c r="Q1063" s="8">
        <v>0.81856080041046697</v>
      </c>
      <c r="R1063" s="8">
        <v>0.62881768832319118</v>
      </c>
    </row>
    <row r="1064" spans="17:18" x14ac:dyDescent="0.35">
      <c r="Q1064" s="8">
        <v>0.23357735719707184</v>
      </c>
      <c r="R1064" s="8" t="s">
        <v>366</v>
      </c>
    </row>
    <row r="1065" spans="17:18" x14ac:dyDescent="0.35">
      <c r="Q1065" s="8">
        <v>0.81856080041046697</v>
      </c>
      <c r="R1065" s="8">
        <v>0.55501866575370662</v>
      </c>
    </row>
    <row r="1066" spans="17:18" x14ac:dyDescent="0.35">
      <c r="Q1066" s="8">
        <v>0.81856080041046697</v>
      </c>
      <c r="R1066" s="8">
        <v>0.55852014369130942</v>
      </c>
    </row>
    <row r="1067" spans="17:18" x14ac:dyDescent="0.35">
      <c r="Q1067" s="8">
        <v>0.26287112010796221</v>
      </c>
      <c r="R1067" s="8" t="s">
        <v>366</v>
      </c>
    </row>
    <row r="1068" spans="17:18" x14ac:dyDescent="0.35">
      <c r="Q1068" s="8">
        <v>0.12365145666442978</v>
      </c>
      <c r="R1068" s="8" t="s">
        <v>366</v>
      </c>
    </row>
    <row r="1069" spans="17:18" x14ac:dyDescent="0.35">
      <c r="Q1069" s="8">
        <v>0.81856080041046697</v>
      </c>
      <c r="R1069" s="8">
        <v>0.52451233821622389</v>
      </c>
    </row>
    <row r="1070" spans="17:18" x14ac:dyDescent="0.35">
      <c r="Q1070" s="8">
        <v>0.83540773991702377</v>
      </c>
      <c r="R1070" s="8">
        <v>0.60874764122795388</v>
      </c>
    </row>
    <row r="1071" spans="17:18" x14ac:dyDescent="0.35">
      <c r="Q1071" s="8">
        <v>0.8353741496598639</v>
      </c>
      <c r="R1071" s="8">
        <v>0.44555829446287698</v>
      </c>
    </row>
    <row r="1072" spans="17:18" x14ac:dyDescent="0.35">
      <c r="Q1072" s="8">
        <v>0.76765586076605419</v>
      </c>
      <c r="R1072" s="8">
        <v>0.42307058530498265</v>
      </c>
    </row>
    <row r="1073" spans="17:18" x14ac:dyDescent="0.35">
      <c r="Q1073" s="8">
        <v>0.83540773991702377</v>
      </c>
      <c r="R1073" s="8">
        <v>0.46294982583564903</v>
      </c>
    </row>
    <row r="1074" spans="17:18" x14ac:dyDescent="0.35">
      <c r="Q1074" s="8">
        <v>0.72406258834862647</v>
      </c>
      <c r="R1074" s="8">
        <v>0.46726528385189769</v>
      </c>
    </row>
    <row r="1075" spans="17:18" x14ac:dyDescent="0.35">
      <c r="Q1075" s="8">
        <v>0.61386583279601403</v>
      </c>
      <c r="R1075" s="8">
        <v>0.50166299941628223</v>
      </c>
    </row>
    <row r="1076" spans="17:18" x14ac:dyDescent="0.35">
      <c r="Q1076" s="8">
        <v>0.76671567847008248</v>
      </c>
      <c r="R1076" s="8">
        <v>0.4510644661550296</v>
      </c>
    </row>
    <row r="1077" spans="17:18" x14ac:dyDescent="0.35">
      <c r="Q1077" s="8">
        <v>0.76059322395056461</v>
      </c>
      <c r="R1077" s="8">
        <v>0.52133103844816819</v>
      </c>
    </row>
    <row r="1078" spans="17:18" x14ac:dyDescent="0.35">
      <c r="Q1078" s="8">
        <v>0.83540773991702377</v>
      </c>
      <c r="R1078" s="8">
        <v>0.59340395718966799</v>
      </c>
    </row>
    <row r="1079" spans="17:18" x14ac:dyDescent="0.35">
      <c r="Q1079" s="8">
        <v>0.76671567847008248</v>
      </c>
      <c r="R1079" s="8">
        <v>0.4510644661550296</v>
      </c>
    </row>
    <row r="1080" spans="17:18" x14ac:dyDescent="0.35">
      <c r="Q1080" s="8">
        <v>0.76059322395056461</v>
      </c>
      <c r="R1080" s="8">
        <v>0.52133103844816819</v>
      </c>
    </row>
    <row r="1081" spans="17:18" x14ac:dyDescent="0.35">
      <c r="Q1081" s="8">
        <v>0.83540773991702377</v>
      </c>
      <c r="R1081" s="8">
        <v>0.59340395718966799</v>
      </c>
    </row>
    <row r="1082" spans="17:18" x14ac:dyDescent="0.35">
      <c r="Q1082" s="8">
        <v>0.76607351298695847</v>
      </c>
      <c r="R1082" s="8">
        <v>0.48828947738917461</v>
      </c>
    </row>
    <row r="1083" spans="17:18" x14ac:dyDescent="0.35">
      <c r="Q1083" s="8">
        <v>0.75799650774780691</v>
      </c>
      <c r="R1083" s="8">
        <v>0.51496421084668009</v>
      </c>
    </row>
    <row r="1084" spans="17:18" x14ac:dyDescent="0.35">
      <c r="Q1084" s="8">
        <v>0.83540773991702377</v>
      </c>
      <c r="R1084" s="8">
        <v>0.62350950357558188</v>
      </c>
    </row>
    <row r="1085" spans="17:18" x14ac:dyDescent="0.35">
      <c r="Q1085" s="8">
        <v>0.76489147921232781</v>
      </c>
      <c r="R1085" s="8">
        <v>0.42277860990821214</v>
      </c>
    </row>
    <row r="1086" spans="17:18" x14ac:dyDescent="0.35">
      <c r="Q1086" s="8">
        <v>0.8353741496598639</v>
      </c>
      <c r="R1086" s="8">
        <v>0.54455507099148925</v>
      </c>
    </row>
    <row r="1087" spans="17:18" x14ac:dyDescent="0.35">
      <c r="Q1087" s="8">
        <v>0.83540773991702377</v>
      </c>
      <c r="R1087" s="8">
        <v>0.55794385853732364</v>
      </c>
    </row>
    <row r="1088" spans="17:18" x14ac:dyDescent="0.35">
      <c r="Q1088" s="8">
        <v>0.82009377093101143</v>
      </c>
      <c r="R1088" s="8">
        <v>0.41026442760959136</v>
      </c>
    </row>
    <row r="1089" spans="17:18" x14ac:dyDescent="0.35">
      <c r="Q1089" s="8">
        <v>0.76982343015725729</v>
      </c>
      <c r="R1089" s="8">
        <v>0.53537034596429356</v>
      </c>
    </row>
    <row r="1090" spans="17:18" x14ac:dyDescent="0.35">
      <c r="Q1090" s="8">
        <v>0.75307765043891761</v>
      </c>
      <c r="R1090" s="8">
        <v>0.64488852342745484</v>
      </c>
    </row>
    <row r="1091" spans="17:18" x14ac:dyDescent="0.35">
      <c r="Q1091" s="8">
        <v>0.73403964519295162</v>
      </c>
      <c r="R1091" s="8">
        <v>0.48381173027214353</v>
      </c>
    </row>
    <row r="1092" spans="17:18" x14ac:dyDescent="0.35">
      <c r="Q1092" s="8">
        <v>0.82009377093101143</v>
      </c>
      <c r="R1092" s="8">
        <v>0.55858383355533814</v>
      </c>
    </row>
    <row r="1093" spans="17:18" x14ac:dyDescent="0.35">
      <c r="Q1093" s="8">
        <v>0.69398064534624182</v>
      </c>
      <c r="R1093" s="8">
        <v>0.46040298736361862</v>
      </c>
    </row>
    <row r="1094" spans="17:18" x14ac:dyDescent="0.35">
      <c r="Q1094" s="8">
        <v>0.82009377093101143</v>
      </c>
      <c r="R1094" s="8">
        <v>0.55044686222986006</v>
      </c>
    </row>
    <row r="1095" spans="17:18" x14ac:dyDescent="0.35">
      <c r="Q1095" s="8">
        <v>0.72095442064402204</v>
      </c>
      <c r="R1095" s="8">
        <v>0.48558456562615593</v>
      </c>
    </row>
    <row r="1096" spans="17:18" x14ac:dyDescent="0.35">
      <c r="Q1096" s="8">
        <v>0.69398064534624182</v>
      </c>
      <c r="R1096" s="8">
        <v>0.46040298736361862</v>
      </c>
    </row>
    <row r="1097" spans="17:18" x14ac:dyDescent="0.35">
      <c r="Q1097" s="8">
        <v>0.82009377093101143</v>
      </c>
      <c r="R1097" s="8">
        <v>0.55044686222986006</v>
      </c>
    </row>
    <row r="1098" spans="17:18" x14ac:dyDescent="0.35">
      <c r="Q1098" s="8">
        <v>0.72095442064402204</v>
      </c>
      <c r="R1098" s="8">
        <v>0.48558456562615593</v>
      </c>
    </row>
    <row r="1099" spans="17:18" x14ac:dyDescent="0.35">
      <c r="Q1099" s="8">
        <v>0.76126311437283578</v>
      </c>
      <c r="R1099" s="8">
        <v>0.51161538543931306</v>
      </c>
    </row>
    <row r="1100" spans="17:18" x14ac:dyDescent="0.35">
      <c r="Q1100" s="8">
        <v>0.82009377093101143</v>
      </c>
      <c r="R1100" s="8">
        <v>0.49507169736169421</v>
      </c>
    </row>
    <row r="1101" spans="17:18" x14ac:dyDescent="0.35">
      <c r="Q1101" s="8">
        <v>0.7441292364555564</v>
      </c>
      <c r="R1101" s="8">
        <v>0.53451614198118835</v>
      </c>
    </row>
    <row r="1102" spans="17:18" x14ac:dyDescent="0.35">
      <c r="Q1102" s="8">
        <v>0.82009377093101143</v>
      </c>
      <c r="R1102" s="8">
        <v>0.56109781698381422</v>
      </c>
    </row>
    <row r="1103" spans="17:18" x14ac:dyDescent="0.35">
      <c r="Q1103" s="8">
        <v>0.82009377093101143</v>
      </c>
      <c r="R1103" s="8">
        <v>0.5482393815800275</v>
      </c>
    </row>
    <row r="1104" spans="17:18" x14ac:dyDescent="0.35">
      <c r="Q1104" s="8">
        <v>0.82009377093101143</v>
      </c>
      <c r="R1104" s="8">
        <v>0.56733642716173627</v>
      </c>
    </row>
  </sheetData>
  <mergeCells count="14">
    <mergeCell ref="A18:A20"/>
    <mergeCell ref="A3:A5"/>
    <mergeCell ref="A6:A8"/>
    <mergeCell ref="A9:A11"/>
    <mergeCell ref="A12:A14"/>
    <mergeCell ref="A15:A17"/>
    <mergeCell ref="A39:A41"/>
    <mergeCell ref="A42:A44"/>
    <mergeCell ref="A21:A23"/>
    <mergeCell ref="A24:A26"/>
    <mergeCell ref="A27:A29"/>
    <mergeCell ref="A30:A32"/>
    <mergeCell ref="A33:A35"/>
    <mergeCell ref="A36:A38"/>
  </mergeCells>
  <conditionalFormatting sqref="L3:O3 L7:O105">
    <cfRule type="containsText" dxfId="54" priority="31" operator="containsText" text="MD">
      <formula>NOT(ISERROR(SEARCH("MD",L3)))</formula>
    </cfRule>
    <cfRule type="containsText" dxfId="53" priority="32" operator="containsText" text="SD">
      <formula>NOT(ISERROR(SEARCH("SD",L3)))</formula>
    </cfRule>
    <cfRule type="containsText" dxfId="52" priority="33" operator="containsText" text="CONTROL">
      <formula>NOT(ISERROR(SEARCH("CONTROL",L3)))</formula>
    </cfRule>
  </conditionalFormatting>
  <conditionalFormatting sqref="L4:O6">
    <cfRule type="containsText" dxfId="51" priority="28" operator="containsText" text="md">
      <formula>NOT(ISERROR(SEARCH("md",L4)))</formula>
    </cfRule>
    <cfRule type="containsText" dxfId="50" priority="29" operator="containsText" text="Control">
      <formula>NOT(ISERROR(SEARCH("Control",L4)))</formula>
    </cfRule>
    <cfRule type="containsText" dxfId="49" priority="30" operator="containsText" text="sd">
      <formula>NOT(ISERROR(SEARCH("sd",L4)))</formula>
    </cfRule>
  </conditionalFormatting>
  <conditionalFormatting sqref="L106:O376">
    <cfRule type="containsText" dxfId="48" priority="22" operator="containsText" text="md">
      <formula>NOT(ISERROR(SEARCH("md",L106)))</formula>
    </cfRule>
    <cfRule type="containsText" dxfId="47" priority="23" operator="containsText" text="Control">
      <formula>NOT(ISERROR(SEARCH("Control",L106)))</formula>
    </cfRule>
    <cfRule type="containsText" dxfId="46" priority="24" operator="containsText" text="sd">
      <formula>NOT(ISERROR(SEARCH("sd",L106)))</formula>
    </cfRule>
  </conditionalFormatting>
  <conditionalFormatting sqref="L377:O377">
    <cfRule type="containsText" dxfId="45" priority="37" operator="containsText" text="MD">
      <formula>NOT(ISERROR(SEARCH("MD",L377)))</formula>
    </cfRule>
    <cfRule type="containsText" dxfId="44" priority="38" operator="containsText" text="SD">
      <formula>NOT(ISERROR(SEARCH("SD",L377)))</formula>
    </cfRule>
    <cfRule type="containsText" dxfId="43" priority="39" operator="containsText" text="CONTROL">
      <formula>NOT(ISERROR(SEARCH("CONTROL",L377)))</formula>
    </cfRule>
  </conditionalFormatting>
  <conditionalFormatting sqref="L378:O396">
    <cfRule type="containsText" dxfId="42" priority="40" operator="containsText" text="md">
      <formula>NOT(ISERROR(SEARCH("md",L378)))</formula>
    </cfRule>
    <cfRule type="containsText" dxfId="41" priority="41" operator="containsText" text="Control">
      <formula>NOT(ISERROR(SEARCH("Control",L378)))</formula>
    </cfRule>
    <cfRule type="containsText" dxfId="40" priority="42" operator="containsText" text="sd">
      <formula>NOT(ISERROR(SEARCH("sd",L378)))</formula>
    </cfRule>
  </conditionalFormatting>
  <conditionalFormatting sqref="L388:O388">
    <cfRule type="containsText" dxfId="39" priority="34" operator="containsText" text="md">
      <formula>NOT(ISERROR(SEARCH("md",L388)))</formula>
    </cfRule>
    <cfRule type="containsText" dxfId="38" priority="35" operator="containsText" text="Control">
      <formula>NOT(ISERROR(SEARCH("Control",L388)))</formula>
    </cfRule>
    <cfRule type="containsText" dxfId="37" priority="36" operator="containsText" text="sd">
      <formula>NOT(ISERROR(SEARCH("sd",L388)))</formula>
    </cfRule>
  </conditionalFormatting>
  <conditionalFormatting sqref="L397:O411">
    <cfRule type="containsText" dxfId="36" priority="25" operator="containsText" text="md">
      <formula>NOT(ISERROR(SEARCH("md",L397)))</formula>
    </cfRule>
    <cfRule type="containsText" dxfId="35" priority="26" operator="containsText" text="Control">
      <formula>NOT(ISERROR(SEARCH("Control",L397)))</formula>
    </cfRule>
    <cfRule type="containsText" dxfId="34" priority="27" operator="containsText" text="sd">
      <formula>NOT(ISERROR(SEARCH("sd",L397)))</formula>
    </cfRule>
  </conditionalFormatting>
  <conditionalFormatting sqref="N3:N411">
    <cfRule type="cellIs" dxfId="33" priority="43" operator="greaterThan">
      <formula>0.5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1"/>
  <sheetViews>
    <sheetView topLeftCell="F25" workbookViewId="0">
      <selection activeCell="K24" sqref="K24"/>
    </sheetView>
  </sheetViews>
  <sheetFormatPr baseColWidth="10" defaultRowHeight="14.5" x14ac:dyDescent="0.35"/>
  <cols>
    <col min="10" max="16" width="11.453125" style="8"/>
  </cols>
  <sheetData>
    <row r="1" spans="1:16" ht="37" thickTop="1" thickBot="1" x14ac:dyDescent="0.4">
      <c r="A1" s="1" t="s">
        <v>0</v>
      </c>
      <c r="B1" s="1" t="s">
        <v>1</v>
      </c>
      <c r="C1" s="1" t="s">
        <v>590</v>
      </c>
      <c r="D1" s="1" t="s">
        <v>591</v>
      </c>
      <c r="E1" s="1" t="s">
        <v>592</v>
      </c>
      <c r="F1" s="1" t="s">
        <v>593</v>
      </c>
      <c r="G1" s="1" t="s">
        <v>594</v>
      </c>
      <c r="H1" s="1" t="s">
        <v>595</v>
      </c>
      <c r="J1" s="1" t="s">
        <v>368</v>
      </c>
      <c r="K1" s="1" t="s">
        <v>0</v>
      </c>
      <c r="L1" s="1" t="s">
        <v>1</v>
      </c>
      <c r="M1" s="1" t="s">
        <v>590</v>
      </c>
      <c r="N1" s="1" t="s">
        <v>591</v>
      </c>
      <c r="O1" s="1" t="s">
        <v>592</v>
      </c>
      <c r="P1" s="1" t="s">
        <v>593</v>
      </c>
    </row>
    <row r="2" spans="1:16" ht="37" thickTop="1" thickBot="1" x14ac:dyDescent="0.4">
      <c r="A2" s="2" t="s">
        <v>10</v>
      </c>
      <c r="B2" s="2" t="s">
        <v>11</v>
      </c>
      <c r="C2" s="2" t="s">
        <v>15</v>
      </c>
      <c r="D2" s="2" t="s">
        <v>15</v>
      </c>
      <c r="E2" s="2" t="s">
        <v>15</v>
      </c>
      <c r="F2" s="2" t="s">
        <v>596</v>
      </c>
      <c r="G2" s="2" t="s">
        <v>392</v>
      </c>
      <c r="H2" s="2" t="s">
        <v>597</v>
      </c>
      <c r="J2" s="2"/>
      <c r="K2" s="2" t="s">
        <v>10</v>
      </c>
      <c r="L2" s="2" t="s">
        <v>11</v>
      </c>
      <c r="M2" s="2" t="s">
        <v>15</v>
      </c>
      <c r="N2" s="2" t="s">
        <v>15</v>
      </c>
      <c r="O2" s="2" t="s">
        <v>15</v>
      </c>
      <c r="P2" s="2" t="s">
        <v>848</v>
      </c>
    </row>
    <row r="3" spans="1:16" ht="15.5" thickTop="1" thickBot="1" x14ac:dyDescent="0.4">
      <c r="A3" s="43" t="s">
        <v>16</v>
      </c>
      <c r="B3" s="3" t="s">
        <v>17</v>
      </c>
      <c r="C3" s="3" t="s">
        <v>598</v>
      </c>
      <c r="D3" s="3" t="s">
        <v>599</v>
      </c>
      <c r="E3" s="3" t="s">
        <v>251</v>
      </c>
      <c r="F3" s="3" t="s">
        <v>600</v>
      </c>
      <c r="G3" s="3" t="s">
        <v>601</v>
      </c>
      <c r="H3" s="3" t="s">
        <v>602</v>
      </c>
      <c r="J3" s="8">
        <v>1</v>
      </c>
      <c r="K3" s="8" t="s">
        <v>16</v>
      </c>
      <c r="L3" s="19" t="s">
        <v>17</v>
      </c>
      <c r="M3" s="8">
        <v>3.2054269072311405</v>
      </c>
      <c r="N3" s="8">
        <v>0.42118412694651952</v>
      </c>
      <c r="O3" s="8">
        <v>0.85552014510248153</v>
      </c>
      <c r="P3" s="8">
        <v>2.7559939299370502</v>
      </c>
    </row>
    <row r="4" spans="1:16" ht="15.5" thickTop="1" thickBot="1" x14ac:dyDescent="0.4">
      <c r="A4" s="44"/>
      <c r="B4" s="4" t="s">
        <v>26</v>
      </c>
      <c r="C4" s="4" t="s">
        <v>603</v>
      </c>
      <c r="D4" s="4" t="s">
        <v>604</v>
      </c>
      <c r="E4" s="4" t="s">
        <v>605</v>
      </c>
      <c r="F4" s="4" t="s">
        <v>606</v>
      </c>
      <c r="G4" s="4" t="s">
        <v>607</v>
      </c>
      <c r="H4" s="4" t="s">
        <v>608</v>
      </c>
      <c r="J4" s="8">
        <v>2</v>
      </c>
      <c r="K4" s="8" t="s">
        <v>16</v>
      </c>
      <c r="L4" s="8" t="s">
        <v>17</v>
      </c>
      <c r="M4" s="8">
        <v>2.7683631641927846</v>
      </c>
      <c r="N4" s="8">
        <v>0.37767872995296858</v>
      </c>
      <c r="O4" s="8">
        <v>0.8296484931372986</v>
      </c>
      <c r="P4" s="8">
        <v>2.7148208432471597</v>
      </c>
    </row>
    <row r="5" spans="1:16" ht="15.5" thickTop="1" thickBot="1" x14ac:dyDescent="0.4">
      <c r="A5" s="45"/>
      <c r="B5" s="3" t="s">
        <v>35</v>
      </c>
      <c r="C5" s="3" t="s">
        <v>609</v>
      </c>
      <c r="D5" s="3" t="s">
        <v>610</v>
      </c>
      <c r="E5" s="3" t="s">
        <v>611</v>
      </c>
      <c r="F5" s="3" t="s">
        <v>612</v>
      </c>
      <c r="G5" s="3" t="s">
        <v>613</v>
      </c>
      <c r="H5" s="3" t="s">
        <v>614</v>
      </c>
      <c r="J5" s="8">
        <v>3</v>
      </c>
      <c r="K5" s="8" t="s">
        <v>16</v>
      </c>
      <c r="L5" s="8" t="s">
        <v>17</v>
      </c>
      <c r="M5" s="8">
        <v>2.2947487923780687</v>
      </c>
      <c r="N5" s="8">
        <v>0.39436346010145357</v>
      </c>
      <c r="O5" s="8">
        <v>0.80359402134992008</v>
      </c>
      <c r="P5" s="8">
        <v>3.0223785930685003</v>
      </c>
    </row>
    <row r="6" spans="1:16" ht="15.5" thickTop="1" thickBot="1" x14ac:dyDescent="0.4">
      <c r="A6" s="43" t="s">
        <v>44</v>
      </c>
      <c r="B6" s="4" t="s">
        <v>17</v>
      </c>
      <c r="C6" s="4" t="s">
        <v>615</v>
      </c>
      <c r="D6" s="4" t="s">
        <v>616</v>
      </c>
      <c r="E6" s="4" t="s">
        <v>617</v>
      </c>
      <c r="F6" s="4" t="s">
        <v>618</v>
      </c>
      <c r="G6" s="4" t="s">
        <v>619</v>
      </c>
      <c r="H6" s="4" t="s">
        <v>620</v>
      </c>
      <c r="J6" s="8">
        <v>4</v>
      </c>
      <c r="K6" s="8" t="s">
        <v>16</v>
      </c>
      <c r="L6" s="8" t="s">
        <v>17</v>
      </c>
      <c r="M6" s="8">
        <v>1.7090196939746685</v>
      </c>
      <c r="N6" s="8">
        <v>0.34686594736664872</v>
      </c>
      <c r="O6" s="8">
        <v>0.72541151265024761</v>
      </c>
      <c r="P6" s="8">
        <v>3.3442855239069815</v>
      </c>
    </row>
    <row r="7" spans="1:16" ht="15.5" thickTop="1" thickBot="1" x14ac:dyDescent="0.4">
      <c r="A7" s="44"/>
      <c r="B7" s="3" t="s">
        <v>26</v>
      </c>
      <c r="C7" s="3" t="s">
        <v>621</v>
      </c>
      <c r="D7" s="3" t="s">
        <v>622</v>
      </c>
      <c r="E7" s="3" t="s">
        <v>623</v>
      </c>
      <c r="F7" s="3" t="s">
        <v>624</v>
      </c>
      <c r="G7" s="3" t="s">
        <v>625</v>
      </c>
      <c r="H7" s="3" t="s">
        <v>626</v>
      </c>
      <c r="J7" s="8">
        <v>5</v>
      </c>
      <c r="K7" s="8" t="s">
        <v>16</v>
      </c>
      <c r="L7" s="19" t="s">
        <v>17</v>
      </c>
      <c r="M7" s="8">
        <v>2.3697607176194699</v>
      </c>
      <c r="N7" s="8">
        <v>0.40009791996008193</v>
      </c>
      <c r="O7" s="8">
        <v>0.79914289416747886</v>
      </c>
      <c r="P7" s="8">
        <v>2.9493009207209351</v>
      </c>
    </row>
    <row r="8" spans="1:16" ht="15.5" thickTop="1" thickBot="1" x14ac:dyDescent="0.4">
      <c r="A8" s="45"/>
      <c r="B8" s="4" t="s">
        <v>35</v>
      </c>
      <c r="C8" s="4" t="s">
        <v>627</v>
      </c>
      <c r="D8" s="4" t="s">
        <v>628</v>
      </c>
      <c r="E8" s="4" t="s">
        <v>629</v>
      </c>
      <c r="F8" s="4" t="s">
        <v>630</v>
      </c>
      <c r="G8" s="4" t="s">
        <v>631</v>
      </c>
      <c r="H8" s="4" t="s">
        <v>632</v>
      </c>
      <c r="J8" s="20" t="s">
        <v>362</v>
      </c>
      <c r="K8" s="20" t="s">
        <v>16</v>
      </c>
      <c r="L8" s="22" t="s">
        <v>17</v>
      </c>
      <c r="M8" s="20">
        <f t="shared" ref="M8:O8" si="0">AVERAGE(M3:M7)</f>
        <v>2.4694638550792272</v>
      </c>
      <c r="N8" s="20">
        <f t="shared" si="0"/>
        <v>0.3880380368655344</v>
      </c>
      <c r="O8" s="20">
        <f t="shared" si="0"/>
        <v>0.80266341328148516</v>
      </c>
      <c r="P8" s="20">
        <v>2.9573559621761252</v>
      </c>
    </row>
    <row r="9" spans="1:16" ht="15.5" thickTop="1" thickBot="1" x14ac:dyDescent="0.4">
      <c r="A9" s="43" t="s">
        <v>69</v>
      </c>
      <c r="B9" s="3" t="s">
        <v>17</v>
      </c>
      <c r="C9" s="3" t="s">
        <v>633</v>
      </c>
      <c r="D9" s="3" t="s">
        <v>634</v>
      </c>
      <c r="E9" s="3" t="s">
        <v>635</v>
      </c>
      <c r="F9" s="3" t="s">
        <v>636</v>
      </c>
      <c r="G9" s="3" t="s">
        <v>637</v>
      </c>
      <c r="H9" s="3" t="s">
        <v>638</v>
      </c>
      <c r="J9" s="20" t="s">
        <v>363</v>
      </c>
      <c r="K9" s="13" t="s">
        <v>16</v>
      </c>
      <c r="L9" s="21" t="s">
        <v>17</v>
      </c>
      <c r="M9" s="13">
        <f t="shared" ref="M9:O9" si="1">_xlfn.STDEV.S(M3:M7)</f>
        <v>0.55895523122011204</v>
      </c>
      <c r="N9" s="13">
        <f t="shared" si="1"/>
        <v>2.7778459462492813E-2</v>
      </c>
      <c r="O9" s="13">
        <f t="shared" si="1"/>
        <v>4.8742037480415917E-2</v>
      </c>
      <c r="P9" s="13">
        <v>0.25168296719463418</v>
      </c>
    </row>
    <row r="10" spans="1:16" ht="15.5" thickTop="1" thickBot="1" x14ac:dyDescent="0.4">
      <c r="A10" s="44"/>
      <c r="B10" s="4" t="s">
        <v>26</v>
      </c>
      <c r="C10" s="4" t="s">
        <v>639</v>
      </c>
      <c r="D10" s="4" t="s">
        <v>640</v>
      </c>
      <c r="E10" s="4" t="s">
        <v>641</v>
      </c>
      <c r="F10" s="4" t="s">
        <v>642</v>
      </c>
      <c r="G10" s="4" t="s">
        <v>643</v>
      </c>
      <c r="H10" s="4" t="s">
        <v>644</v>
      </c>
      <c r="J10" s="20" t="s">
        <v>364</v>
      </c>
      <c r="K10" s="13" t="s">
        <v>16</v>
      </c>
      <c r="L10" s="21" t="s">
        <v>17</v>
      </c>
      <c r="M10" s="16">
        <f t="shared" ref="M10:O10" si="2">M9/SQRT(COUNT(M3:M7))</f>
        <v>0.24997237867745664</v>
      </c>
      <c r="N10" s="16">
        <f t="shared" si="2"/>
        <v>1.2422904733671239E-2</v>
      </c>
      <c r="O10" s="16">
        <f t="shared" si="2"/>
        <v>2.1798101833610511E-2</v>
      </c>
      <c r="P10" s="16">
        <v>0.11255604468521031</v>
      </c>
    </row>
    <row r="11" spans="1:16" ht="15.5" thickTop="1" thickBot="1" x14ac:dyDescent="0.4">
      <c r="A11" s="45"/>
      <c r="B11" s="3" t="s">
        <v>35</v>
      </c>
      <c r="C11" s="3" t="s">
        <v>645</v>
      </c>
      <c r="D11" s="3" t="s">
        <v>646</v>
      </c>
      <c r="E11" s="3" t="s">
        <v>647</v>
      </c>
      <c r="F11" s="3" t="s">
        <v>648</v>
      </c>
      <c r="G11" s="3" t="s">
        <v>649</v>
      </c>
      <c r="H11" s="3" t="s">
        <v>650</v>
      </c>
      <c r="J11" s="8">
        <v>4</v>
      </c>
      <c r="K11" s="8" t="s">
        <v>16</v>
      </c>
      <c r="L11" s="8" t="s">
        <v>26</v>
      </c>
      <c r="M11" s="8">
        <f>AVERAGE(M12:M14)</f>
        <v>3.0905374795763496</v>
      </c>
      <c r="N11" s="8">
        <v>0.39765509219262801</v>
      </c>
      <c r="O11" s="8">
        <v>0.81314324827320816</v>
      </c>
      <c r="P11" s="8">
        <v>3.252190276280825</v>
      </c>
    </row>
    <row r="12" spans="1:16" ht="15.5" thickTop="1" thickBot="1" x14ac:dyDescent="0.4">
      <c r="A12" s="43" t="s">
        <v>94</v>
      </c>
      <c r="B12" s="4" t="s">
        <v>17</v>
      </c>
      <c r="C12" s="4" t="s">
        <v>651</v>
      </c>
      <c r="D12" s="4" t="s">
        <v>652</v>
      </c>
      <c r="E12" s="4" t="s">
        <v>653</v>
      </c>
      <c r="F12" s="4" t="s">
        <v>654</v>
      </c>
      <c r="G12" s="4" t="s">
        <v>655</v>
      </c>
      <c r="H12" s="4" t="s">
        <v>656</v>
      </c>
      <c r="J12" s="8">
        <v>5</v>
      </c>
      <c r="K12" s="8" t="s">
        <v>16</v>
      </c>
      <c r="L12" s="8" t="s">
        <v>26</v>
      </c>
      <c r="M12" s="8">
        <v>3.0822213236285214</v>
      </c>
      <c r="N12" s="8">
        <v>0.42892944837054442</v>
      </c>
      <c r="O12" s="8">
        <v>0.85009782428020786</v>
      </c>
      <c r="P12" s="8">
        <v>3.0163221547124515</v>
      </c>
    </row>
    <row r="13" spans="1:16" ht="15.5" thickTop="1" thickBot="1" x14ac:dyDescent="0.4">
      <c r="A13" s="44"/>
      <c r="B13" s="3" t="s">
        <v>26</v>
      </c>
      <c r="C13" s="3" t="s">
        <v>657</v>
      </c>
      <c r="D13" s="3" t="s">
        <v>658</v>
      </c>
      <c r="E13" s="3" t="s">
        <v>659</v>
      </c>
      <c r="F13" s="3" t="s">
        <v>660</v>
      </c>
      <c r="G13" s="3" t="s">
        <v>661</v>
      </c>
      <c r="H13" s="3" t="s">
        <v>662</v>
      </c>
      <c r="J13" s="8">
        <v>6</v>
      </c>
      <c r="K13" s="8" t="s">
        <v>16</v>
      </c>
      <c r="L13" s="8" t="s">
        <v>26</v>
      </c>
      <c r="M13" s="8">
        <v>3.0520724626046936</v>
      </c>
      <c r="N13" s="8">
        <v>0.34242088672282028</v>
      </c>
      <c r="O13" s="8">
        <v>0.8484070696919972</v>
      </c>
      <c r="P13" s="8">
        <v>2.785961099680522</v>
      </c>
    </row>
    <row r="14" spans="1:16" ht="15.5" thickTop="1" thickBot="1" x14ac:dyDescent="0.4">
      <c r="A14" s="45"/>
      <c r="B14" s="4" t="s">
        <v>35</v>
      </c>
      <c r="C14" s="4" t="s">
        <v>663</v>
      </c>
      <c r="D14" s="4" t="s">
        <v>664</v>
      </c>
      <c r="E14" s="4" t="s">
        <v>665</v>
      </c>
      <c r="F14" s="4" t="s">
        <v>666</v>
      </c>
      <c r="G14" s="4" t="s">
        <v>667</v>
      </c>
      <c r="H14" s="4" t="s">
        <v>668</v>
      </c>
      <c r="J14" s="8">
        <v>4</v>
      </c>
      <c r="K14" s="8" t="s">
        <v>16</v>
      </c>
      <c r="L14" s="8" t="s">
        <v>26</v>
      </c>
      <c r="M14" s="8">
        <v>3.1373186524958334</v>
      </c>
      <c r="N14" s="8">
        <v>0.43065846318449486</v>
      </c>
      <c r="O14" s="8">
        <v>0.85311305193004505</v>
      </c>
      <c r="P14" s="8">
        <v>2.7148158211813342</v>
      </c>
    </row>
    <row r="15" spans="1:16" ht="15.5" thickTop="1" thickBot="1" x14ac:dyDescent="0.4">
      <c r="A15" s="43" t="s">
        <v>119</v>
      </c>
      <c r="B15" s="3" t="s">
        <v>17</v>
      </c>
      <c r="C15" s="3" t="s">
        <v>669</v>
      </c>
      <c r="D15" s="3" t="s">
        <v>670</v>
      </c>
      <c r="E15" s="3" t="s">
        <v>671</v>
      </c>
      <c r="F15" s="3" t="s">
        <v>672</v>
      </c>
      <c r="G15" s="3" t="s">
        <v>673</v>
      </c>
      <c r="H15" s="3" t="s">
        <v>674</v>
      </c>
      <c r="J15" s="8">
        <v>5</v>
      </c>
      <c r="K15" s="8" t="s">
        <v>16</v>
      </c>
      <c r="L15" s="8" t="s">
        <v>26</v>
      </c>
      <c r="M15" s="8">
        <f t="shared" ref="M15:O15" si="3">AVERAGE(M11:M14)</f>
        <v>3.0905374795763496</v>
      </c>
      <c r="N15" s="8">
        <f t="shared" si="3"/>
        <v>0.39991597261762191</v>
      </c>
      <c r="O15" s="8">
        <f t="shared" si="3"/>
        <v>0.84119029854386451</v>
      </c>
      <c r="P15" s="8">
        <v>2.9563892816486255</v>
      </c>
    </row>
    <row r="16" spans="1:16" ht="15.5" thickTop="1" thickBot="1" x14ac:dyDescent="0.4">
      <c r="A16" s="44"/>
      <c r="B16" s="4" t="s">
        <v>26</v>
      </c>
      <c r="C16" s="4" t="s">
        <v>675</v>
      </c>
      <c r="D16" s="4" t="s">
        <v>676</v>
      </c>
      <c r="E16" s="4" t="s">
        <v>677</v>
      </c>
      <c r="F16" s="4" t="s">
        <v>678</v>
      </c>
      <c r="G16" s="4" t="s">
        <v>679</v>
      </c>
      <c r="H16" s="4" t="s">
        <v>680</v>
      </c>
      <c r="J16" s="8">
        <v>6</v>
      </c>
      <c r="K16" s="8" t="s">
        <v>16</v>
      </c>
      <c r="L16" s="8" t="s">
        <v>26</v>
      </c>
      <c r="M16" s="8">
        <f t="shared" ref="M16:O16" si="4">_xlfn.STDEV.S(M11:M14)</f>
        <v>3.5294919937110078E-2</v>
      </c>
      <c r="N16" s="8">
        <f t="shared" si="4"/>
        <v>4.1221673036831934E-2</v>
      </c>
      <c r="O16" s="8">
        <f t="shared" si="4"/>
        <v>1.8799068041976119E-2</v>
      </c>
      <c r="P16" s="8">
        <v>2.6410114572735699</v>
      </c>
    </row>
    <row r="17" spans="1:16" ht="15.5" thickTop="1" thickBot="1" x14ac:dyDescent="0.4">
      <c r="A17" s="45"/>
      <c r="B17" s="3" t="s">
        <v>35</v>
      </c>
      <c r="C17" s="3" t="s">
        <v>681</v>
      </c>
      <c r="D17" s="3" t="s">
        <v>682</v>
      </c>
      <c r="E17" s="3" t="s">
        <v>683</v>
      </c>
      <c r="F17" s="3" t="s">
        <v>684</v>
      </c>
      <c r="G17" s="3" t="s">
        <v>685</v>
      </c>
      <c r="H17" s="3" t="s">
        <v>686</v>
      </c>
      <c r="J17" s="8">
        <v>4</v>
      </c>
      <c r="K17" s="8" t="s">
        <v>16</v>
      </c>
      <c r="L17" s="8" t="s">
        <v>26</v>
      </c>
      <c r="M17" s="8">
        <f t="shared" ref="M17:O17" si="5">M16/SQRT(COUNT(M10:M14))</f>
        <v>1.5784368047958148E-2</v>
      </c>
      <c r="N17" s="8">
        <f t="shared" si="5"/>
        <v>1.843489261132528E-2</v>
      </c>
      <c r="O17" s="8">
        <f t="shared" si="5"/>
        <v>8.4071988111004935E-3</v>
      </c>
      <c r="P17" s="8">
        <v>3.3268403279204164</v>
      </c>
    </row>
    <row r="18" spans="1:16" ht="15.5" thickTop="1" thickBot="1" x14ac:dyDescent="0.4">
      <c r="A18" s="43" t="s">
        <v>144</v>
      </c>
      <c r="B18" s="4" t="s">
        <v>17</v>
      </c>
      <c r="C18" s="4" t="s">
        <v>687</v>
      </c>
      <c r="D18" s="4" t="s">
        <v>688</v>
      </c>
      <c r="E18" s="4" t="s">
        <v>689</v>
      </c>
      <c r="F18" s="4" t="s">
        <v>690</v>
      </c>
      <c r="G18" s="4" t="s">
        <v>691</v>
      </c>
      <c r="H18" s="4" t="s">
        <v>692</v>
      </c>
      <c r="J18" s="8">
        <v>5</v>
      </c>
      <c r="K18" s="8" t="s">
        <v>16</v>
      </c>
      <c r="L18" s="8" t="s">
        <v>26</v>
      </c>
      <c r="M18" s="8">
        <f>AVERAGE(M19:M21)</f>
        <v>2.423062666666667</v>
      </c>
      <c r="N18" s="8">
        <f>AVERAGE(N19:N21)</f>
        <v>0.35172333333333333</v>
      </c>
      <c r="O18" s="8">
        <f>AVERAGE(O19:O21)</f>
        <v>0.79027199999999986</v>
      </c>
      <c r="P18" s="8">
        <v>3.1026762101506931</v>
      </c>
    </row>
    <row r="19" spans="1:16" ht="15.5" thickTop="1" thickBot="1" x14ac:dyDescent="0.4">
      <c r="A19" s="44"/>
      <c r="B19" s="3" t="s">
        <v>26</v>
      </c>
      <c r="C19" s="3" t="s">
        <v>693</v>
      </c>
      <c r="D19" s="3" t="s">
        <v>694</v>
      </c>
      <c r="E19" s="3" t="s">
        <v>695</v>
      </c>
      <c r="F19" s="3" t="s">
        <v>696</v>
      </c>
      <c r="G19" s="3" t="s">
        <v>697</v>
      </c>
      <c r="H19" s="3" t="s">
        <v>698</v>
      </c>
      <c r="J19" s="8">
        <v>6</v>
      </c>
      <c r="K19" s="8" t="s">
        <v>16</v>
      </c>
      <c r="L19" s="8" t="s">
        <v>26</v>
      </c>
      <c r="M19" s="8">
        <v>3.2623690000000001</v>
      </c>
      <c r="N19" s="8">
        <v>0.35885699999999998</v>
      </c>
      <c r="O19" s="8">
        <v>0.856877</v>
      </c>
      <c r="P19" s="8">
        <v>3.0875212575323738</v>
      </c>
    </row>
    <row r="20" spans="1:16" ht="15.5" thickTop="1" thickBot="1" x14ac:dyDescent="0.4">
      <c r="A20" s="45"/>
      <c r="B20" s="4" t="s">
        <v>35</v>
      </c>
      <c r="C20" s="4" t="s">
        <v>699</v>
      </c>
      <c r="D20" s="4" t="s">
        <v>700</v>
      </c>
      <c r="E20" s="4" t="s">
        <v>701</v>
      </c>
      <c r="F20" s="4" t="s">
        <v>702</v>
      </c>
      <c r="G20" s="4" t="s">
        <v>703</v>
      </c>
      <c r="H20" s="4" t="s">
        <v>704</v>
      </c>
      <c r="J20" s="20" t="s">
        <v>362</v>
      </c>
      <c r="K20" s="20" t="s">
        <v>16</v>
      </c>
      <c r="L20" s="20" t="s">
        <v>26</v>
      </c>
      <c r="M20" s="20">
        <v>1.7006790000000001</v>
      </c>
      <c r="N20" s="20">
        <v>0.32832</v>
      </c>
      <c r="O20" s="20">
        <v>0.72226999999999997</v>
      </c>
      <c r="P20" s="20">
        <v>2.9870808762645344</v>
      </c>
    </row>
    <row r="21" spans="1:16" ht="15.5" thickTop="1" thickBot="1" x14ac:dyDescent="0.4">
      <c r="A21" s="43" t="s">
        <v>169</v>
      </c>
      <c r="B21" s="3" t="s">
        <v>17</v>
      </c>
      <c r="C21" s="3" t="s">
        <v>705</v>
      </c>
      <c r="D21" s="3" t="s">
        <v>706</v>
      </c>
      <c r="E21" s="3" t="s">
        <v>707</v>
      </c>
      <c r="F21" s="3" t="s">
        <v>708</v>
      </c>
      <c r="G21" s="3" t="s">
        <v>709</v>
      </c>
      <c r="H21" s="3" t="s">
        <v>710</v>
      </c>
      <c r="J21" s="20" t="s">
        <v>363</v>
      </c>
      <c r="K21" s="13" t="s">
        <v>16</v>
      </c>
      <c r="L21" s="13" t="s">
        <v>26</v>
      </c>
      <c r="M21" s="13">
        <v>2.3061400000000001</v>
      </c>
      <c r="N21" s="13">
        <v>0.36799300000000001</v>
      </c>
      <c r="O21" s="13">
        <v>0.79166899999999996</v>
      </c>
      <c r="P21" s="13">
        <v>0.23593127289285046</v>
      </c>
    </row>
    <row r="22" spans="1:16" ht="15.5" thickTop="1" thickBot="1" x14ac:dyDescent="0.4">
      <c r="A22" s="44"/>
      <c r="B22" s="4" t="s">
        <v>26</v>
      </c>
      <c r="C22" s="4" t="s">
        <v>711</v>
      </c>
      <c r="D22" s="4" t="s">
        <v>712</v>
      </c>
      <c r="E22" s="4" t="s">
        <v>713</v>
      </c>
      <c r="F22" s="4" t="s">
        <v>714</v>
      </c>
      <c r="G22" s="4" t="s">
        <v>715</v>
      </c>
      <c r="H22" s="4" t="s">
        <v>716</v>
      </c>
      <c r="J22" s="20" t="s">
        <v>364</v>
      </c>
      <c r="K22" s="13" t="s">
        <v>16</v>
      </c>
      <c r="L22" s="13" t="s">
        <v>26</v>
      </c>
      <c r="M22" s="16">
        <f t="shared" ref="M22:O22" si="6">AVERAGE(M18:M21)</f>
        <v>2.4230626666666666</v>
      </c>
      <c r="N22" s="16">
        <f t="shared" si="6"/>
        <v>0.35172333333333333</v>
      </c>
      <c r="O22" s="16">
        <f t="shared" si="6"/>
        <v>0.79027199999999986</v>
      </c>
      <c r="P22" s="16">
        <v>0.10551167284129341</v>
      </c>
    </row>
    <row r="23" spans="1:16" ht="15.5" thickTop="1" thickBot="1" x14ac:dyDescent="0.4">
      <c r="A23" s="45"/>
      <c r="B23" s="3" t="s">
        <v>35</v>
      </c>
      <c r="C23" s="3" t="s">
        <v>717</v>
      </c>
      <c r="D23" s="3" t="s">
        <v>718</v>
      </c>
      <c r="E23" s="3" t="s">
        <v>719</v>
      </c>
      <c r="F23" s="3" t="s">
        <v>720</v>
      </c>
      <c r="G23" s="3" t="s">
        <v>721</v>
      </c>
      <c r="H23" s="3" t="s">
        <v>722</v>
      </c>
      <c r="J23" s="8">
        <v>4</v>
      </c>
      <c r="K23" s="8" t="s">
        <v>16</v>
      </c>
      <c r="L23" s="8" t="s">
        <v>35</v>
      </c>
      <c r="M23" s="8">
        <f t="shared" ref="M23:O23" si="7">_xlfn.STDEV.S(M18:M21)</f>
        <v>0.64289558328463392</v>
      </c>
      <c r="N23" s="8">
        <f t="shared" si="7"/>
        <v>1.6963758080750336E-2</v>
      </c>
      <c r="O23" s="8">
        <f t="shared" si="7"/>
        <v>5.4961955441923657E-2</v>
      </c>
      <c r="P23" s="8">
        <v>3.3268403279204164</v>
      </c>
    </row>
    <row r="24" spans="1:16" ht="15.5" thickTop="1" thickBot="1" x14ac:dyDescent="0.4">
      <c r="A24" s="43" t="s">
        <v>194</v>
      </c>
      <c r="B24" s="4" t="s">
        <v>17</v>
      </c>
      <c r="C24" s="4" t="s">
        <v>723</v>
      </c>
      <c r="D24" s="4" t="s">
        <v>724</v>
      </c>
      <c r="E24" s="4" t="s">
        <v>725</v>
      </c>
      <c r="F24" s="4" t="s">
        <v>726</v>
      </c>
      <c r="G24" s="4" t="s">
        <v>727</v>
      </c>
      <c r="H24" s="4" t="s">
        <v>728</v>
      </c>
      <c r="J24" s="8">
        <v>5</v>
      </c>
      <c r="K24" s="8" t="s">
        <v>16</v>
      </c>
      <c r="L24" s="8" t="s">
        <v>35</v>
      </c>
      <c r="M24" s="8">
        <f t="shared" ref="M24:O24" si="8">M23/SQRT(COUNT(M17:M21))</f>
        <v>0.28751164533176377</v>
      </c>
      <c r="N24" s="8">
        <f t="shared" si="8"/>
        <v>7.5864232444838231E-3</v>
      </c>
      <c r="O24" s="8">
        <f t="shared" si="8"/>
        <v>2.4579733708891157E-2</v>
      </c>
      <c r="P24" s="8">
        <v>3.1026762101506931</v>
      </c>
    </row>
    <row r="25" spans="1:16" ht="15.5" thickTop="1" thickBot="1" x14ac:dyDescent="0.4">
      <c r="A25" s="44"/>
      <c r="B25" s="3" t="s">
        <v>26</v>
      </c>
      <c r="C25" s="3" t="s">
        <v>729</v>
      </c>
      <c r="D25" s="3" t="s">
        <v>730</v>
      </c>
      <c r="E25" s="3" t="s">
        <v>731</v>
      </c>
      <c r="F25" s="3" t="s">
        <v>732</v>
      </c>
      <c r="G25" s="3" t="s">
        <v>733</v>
      </c>
      <c r="H25" s="3" t="s">
        <v>734</v>
      </c>
      <c r="J25" s="8">
        <v>6</v>
      </c>
      <c r="K25" s="8" t="s">
        <v>16</v>
      </c>
      <c r="L25" s="8" t="s">
        <v>35</v>
      </c>
      <c r="M25" s="8">
        <v>2.4378744584754357</v>
      </c>
      <c r="N25" s="8">
        <v>0.32490124957528949</v>
      </c>
      <c r="O25" s="8">
        <v>0.81740424492077879</v>
      </c>
      <c r="P25" s="8">
        <v>3.0875212575323738</v>
      </c>
    </row>
    <row r="26" spans="1:16" ht="25" thickTop="1" thickBot="1" x14ac:dyDescent="0.4">
      <c r="A26" s="45"/>
      <c r="B26" s="4" t="s">
        <v>35</v>
      </c>
      <c r="C26" s="4" t="s">
        <v>735</v>
      </c>
      <c r="D26" s="4" t="s">
        <v>736</v>
      </c>
      <c r="E26" s="4" t="s">
        <v>737</v>
      </c>
      <c r="F26" s="4" t="s">
        <v>738</v>
      </c>
      <c r="G26" s="4" t="s">
        <v>739</v>
      </c>
      <c r="H26" s="4" t="s">
        <v>740</v>
      </c>
      <c r="J26" s="8">
        <v>4</v>
      </c>
      <c r="K26" s="8" t="s">
        <v>16</v>
      </c>
      <c r="L26" s="8" t="s">
        <v>35</v>
      </c>
      <c r="M26" s="8">
        <f>AVERAGE(M27:M28,M25)</f>
        <v>2.3787360694286268</v>
      </c>
      <c r="N26" s="8">
        <v>0.31890099999999999</v>
      </c>
      <c r="O26" s="8">
        <f>AVERAGE(O27:O28,O25)</f>
        <v>0.81233938779378667</v>
      </c>
      <c r="P26" s="8">
        <v>3.9232684938236226</v>
      </c>
    </row>
    <row r="27" spans="1:16" ht="15.5" thickTop="1" thickBot="1" x14ac:dyDescent="0.4">
      <c r="A27" s="43" t="s">
        <v>218</v>
      </c>
      <c r="B27" s="3" t="s">
        <v>17</v>
      </c>
      <c r="C27" s="3" t="s">
        <v>741</v>
      </c>
      <c r="D27" s="3" t="s">
        <v>742</v>
      </c>
      <c r="E27" s="3" t="s">
        <v>743</v>
      </c>
      <c r="F27" s="3" t="s">
        <v>744</v>
      </c>
      <c r="G27" s="3" t="s">
        <v>745</v>
      </c>
      <c r="H27" s="3" t="s">
        <v>746</v>
      </c>
      <c r="J27" s="8">
        <v>5</v>
      </c>
      <c r="K27" s="8" t="s">
        <v>16</v>
      </c>
      <c r="L27" s="8" t="s">
        <v>35</v>
      </c>
      <c r="M27" s="8">
        <v>2.4278427498104449</v>
      </c>
      <c r="N27" s="8">
        <v>0.34846466474511162</v>
      </c>
      <c r="O27" s="8">
        <v>0.81658891846058124</v>
      </c>
      <c r="P27" s="8">
        <v>4.7138237837550045</v>
      </c>
    </row>
    <row r="28" spans="1:16" ht="15.5" thickTop="1" thickBot="1" x14ac:dyDescent="0.4">
      <c r="A28" s="44"/>
      <c r="B28" s="4" t="s">
        <v>26</v>
      </c>
      <c r="C28" s="4" t="s">
        <v>747</v>
      </c>
      <c r="D28" s="4" t="s">
        <v>748</v>
      </c>
      <c r="E28" s="4" t="s">
        <v>749</v>
      </c>
      <c r="F28" s="4" t="s">
        <v>750</v>
      </c>
      <c r="G28" s="4" t="s">
        <v>751</v>
      </c>
      <c r="H28" s="4" t="s">
        <v>752</v>
      </c>
      <c r="J28" s="8">
        <v>6</v>
      </c>
      <c r="K28" s="8" t="s">
        <v>16</v>
      </c>
      <c r="L28" s="8" t="s">
        <v>35</v>
      </c>
      <c r="M28" s="8">
        <v>2.2704909999999998</v>
      </c>
      <c r="N28" s="8">
        <v>0.350659</v>
      </c>
      <c r="O28" s="8">
        <v>0.80302499999999999</v>
      </c>
      <c r="P28" s="8">
        <v>2.9266306512443716</v>
      </c>
    </row>
    <row r="29" spans="1:16" ht="15.5" thickTop="1" thickBot="1" x14ac:dyDescent="0.4">
      <c r="A29" s="45"/>
      <c r="B29" s="3" t="s">
        <v>35</v>
      </c>
      <c r="C29" s="3" t="s">
        <v>753</v>
      </c>
      <c r="D29" s="3" t="s">
        <v>754</v>
      </c>
      <c r="E29" s="3" t="s">
        <v>755</v>
      </c>
      <c r="F29" s="3" t="s">
        <v>756</v>
      </c>
      <c r="G29" s="3" t="s">
        <v>757</v>
      </c>
      <c r="H29" s="3" t="s">
        <v>758</v>
      </c>
      <c r="J29" s="8">
        <v>4</v>
      </c>
      <c r="K29" s="8" t="s">
        <v>16</v>
      </c>
      <c r="L29" s="8" t="s">
        <v>35</v>
      </c>
      <c r="M29" s="8">
        <f t="shared" ref="M29:O29" si="9">AVERAGE(M25:M28)</f>
        <v>2.3787360694286268</v>
      </c>
      <c r="N29" s="8">
        <f t="shared" si="9"/>
        <v>0.33573147858010027</v>
      </c>
      <c r="O29" s="8">
        <f t="shared" si="9"/>
        <v>0.81233938779378667</v>
      </c>
      <c r="P29" s="8">
        <v>2.6834763307111569</v>
      </c>
    </row>
    <row r="30" spans="1:16" ht="15.5" thickTop="1" thickBot="1" x14ac:dyDescent="0.4">
      <c r="A30" s="43" t="s">
        <v>243</v>
      </c>
      <c r="B30" s="4" t="s">
        <v>17</v>
      </c>
      <c r="C30" s="4" t="s">
        <v>759</v>
      </c>
      <c r="D30" s="4" t="s">
        <v>760</v>
      </c>
      <c r="E30" s="4" t="s">
        <v>761</v>
      </c>
      <c r="F30" s="4" t="s">
        <v>762</v>
      </c>
      <c r="G30" s="4" t="s">
        <v>763</v>
      </c>
      <c r="H30" s="4" t="s">
        <v>764</v>
      </c>
      <c r="J30" s="8">
        <v>5</v>
      </c>
      <c r="K30" s="8" t="s">
        <v>16</v>
      </c>
      <c r="L30" s="8" t="s">
        <v>35</v>
      </c>
      <c r="M30" s="8">
        <f t="shared" ref="M30:O30" si="10">_xlfn.STDEV.S(M25:M28)</f>
        <v>7.6650310225034407E-2</v>
      </c>
      <c r="N30" s="8">
        <f t="shared" si="10"/>
        <v>1.6181509974723833E-2</v>
      </c>
      <c r="O30" s="8">
        <f t="shared" si="10"/>
        <v>6.594672308712861E-3</v>
      </c>
      <c r="P30" s="8">
        <v>3.1924429933569227</v>
      </c>
    </row>
    <row r="31" spans="1:16" ht="15.5" thickTop="1" thickBot="1" x14ac:dyDescent="0.4">
      <c r="A31" s="44"/>
      <c r="B31" s="3" t="s">
        <v>26</v>
      </c>
      <c r="C31" s="3" t="s">
        <v>765</v>
      </c>
      <c r="D31" s="3" t="s">
        <v>766</v>
      </c>
      <c r="E31" s="3" t="s">
        <v>767</v>
      </c>
      <c r="F31" s="3" t="s">
        <v>768</v>
      </c>
      <c r="G31" s="3" t="s">
        <v>769</v>
      </c>
      <c r="H31" s="3" t="s">
        <v>770</v>
      </c>
      <c r="J31" s="8">
        <v>6</v>
      </c>
      <c r="K31" s="8" t="s">
        <v>16</v>
      </c>
      <c r="L31" s="8" t="s">
        <v>35</v>
      </c>
      <c r="M31" s="8">
        <f t="shared" ref="M31:O31" si="11">M30/SQRT(COUNT(M24:M28))</f>
        <v>3.4279060831924828E-2</v>
      </c>
      <c r="N31" s="8">
        <f t="shared" si="11"/>
        <v>7.2365912564146782E-3</v>
      </c>
      <c r="O31" s="8">
        <f t="shared" si="11"/>
        <v>2.9492271143234869E-3</v>
      </c>
      <c r="P31" s="8">
        <v>4.6191577920366909</v>
      </c>
    </row>
    <row r="32" spans="1:16" ht="15.5" thickTop="1" thickBot="1" x14ac:dyDescent="0.4">
      <c r="A32" s="45"/>
      <c r="B32" s="4" t="s">
        <v>35</v>
      </c>
      <c r="C32" s="4" t="s">
        <v>771</v>
      </c>
      <c r="D32" s="4" t="s">
        <v>772</v>
      </c>
      <c r="E32" s="4" t="s">
        <v>773</v>
      </c>
      <c r="F32" s="4" t="s">
        <v>774</v>
      </c>
      <c r="G32" s="4" t="s">
        <v>775</v>
      </c>
      <c r="H32" s="4" t="s">
        <v>776</v>
      </c>
      <c r="J32" s="20" t="s">
        <v>362</v>
      </c>
      <c r="K32" s="20" t="s">
        <v>16</v>
      </c>
      <c r="L32" s="20" t="s">
        <v>35</v>
      </c>
      <c r="M32" s="20">
        <f>AVERAGE(M33:M36)</f>
        <v>2.8218157499999998</v>
      </c>
      <c r="N32" s="20">
        <f>AVERAGE(N33:N36)</f>
        <v>0.39415924999999996</v>
      </c>
      <c r="O32" s="20">
        <f>AVERAGE(O33:O36)</f>
        <v>0.83227574999999998</v>
      </c>
      <c r="P32" s="20">
        <v>3.5084264267256953</v>
      </c>
    </row>
    <row r="33" spans="1:16" ht="15.5" thickTop="1" thickBot="1" x14ac:dyDescent="0.4">
      <c r="A33" s="43" t="s">
        <v>268</v>
      </c>
      <c r="B33" s="3" t="s">
        <v>17</v>
      </c>
      <c r="C33" s="3" t="s">
        <v>777</v>
      </c>
      <c r="D33" s="3" t="s">
        <v>778</v>
      </c>
      <c r="E33" s="3" t="s">
        <v>779</v>
      </c>
      <c r="F33" s="3" t="s">
        <v>780</v>
      </c>
      <c r="G33" s="3" t="s">
        <v>781</v>
      </c>
      <c r="H33" s="3" t="s">
        <v>782</v>
      </c>
      <c r="J33" s="20" t="s">
        <v>363</v>
      </c>
      <c r="K33" s="13" t="s">
        <v>16</v>
      </c>
      <c r="L33" s="13" t="s">
        <v>35</v>
      </c>
      <c r="M33" s="13">
        <v>3.6042329999999998</v>
      </c>
      <c r="N33" s="13">
        <v>0.32402399999999998</v>
      </c>
      <c r="O33" s="13">
        <v>0.87731999999999999</v>
      </c>
      <c r="P33" s="13">
        <v>0.73760112198958683</v>
      </c>
    </row>
    <row r="34" spans="1:16" ht="15.5" thickTop="1" thickBot="1" x14ac:dyDescent="0.4">
      <c r="A34" s="44"/>
      <c r="B34" s="4" t="s">
        <v>26</v>
      </c>
      <c r="C34" s="4" t="s">
        <v>783</v>
      </c>
      <c r="D34" s="4" t="s">
        <v>784</v>
      </c>
      <c r="E34" s="4" t="s">
        <v>785</v>
      </c>
      <c r="F34" s="4" t="s">
        <v>786</v>
      </c>
      <c r="G34" s="4" t="s">
        <v>787</v>
      </c>
      <c r="H34" s="4" t="s">
        <v>788</v>
      </c>
      <c r="J34" s="20" t="s">
        <v>364</v>
      </c>
      <c r="K34" s="13" t="s">
        <v>16</v>
      </c>
      <c r="L34" s="13" t="s">
        <v>35</v>
      </c>
      <c r="M34" s="16">
        <v>2.2551100000000002</v>
      </c>
      <c r="N34" s="16">
        <v>0.34988999999999998</v>
      </c>
      <c r="O34" s="16">
        <v>0.792709</v>
      </c>
      <c r="P34" s="16">
        <v>0.32986524980976623</v>
      </c>
    </row>
    <row r="35" spans="1:16" ht="15.5" thickTop="1" thickBot="1" x14ac:dyDescent="0.4">
      <c r="A35" s="45"/>
      <c r="B35" s="3" t="s">
        <v>35</v>
      </c>
      <c r="C35" s="3" t="s">
        <v>789</v>
      </c>
      <c r="D35" s="3" t="s">
        <v>790</v>
      </c>
      <c r="E35" s="3" t="s">
        <v>72</v>
      </c>
      <c r="F35" s="3" t="s">
        <v>791</v>
      </c>
      <c r="G35" s="3" t="s">
        <v>792</v>
      </c>
      <c r="H35" s="3" t="s">
        <v>793</v>
      </c>
      <c r="J35" s="8">
        <v>1</v>
      </c>
      <c r="K35" s="8" t="s">
        <v>44</v>
      </c>
      <c r="L35" s="19" t="s">
        <v>17</v>
      </c>
      <c r="M35" s="8">
        <v>2.66153</v>
      </c>
      <c r="N35" s="8">
        <v>0.42619600000000002</v>
      </c>
      <c r="O35" s="8">
        <v>0.82592200000000005</v>
      </c>
      <c r="P35" s="8">
        <v>2.8213503242737024</v>
      </c>
    </row>
    <row r="36" spans="1:16" ht="15.5" thickTop="1" thickBot="1" x14ac:dyDescent="0.4">
      <c r="A36" s="43" t="s">
        <v>291</v>
      </c>
      <c r="B36" s="4" t="s">
        <v>17</v>
      </c>
      <c r="C36" s="4" t="s">
        <v>794</v>
      </c>
      <c r="D36" s="4" t="s">
        <v>795</v>
      </c>
      <c r="E36" s="4" t="s">
        <v>796</v>
      </c>
      <c r="F36" s="4" t="s">
        <v>797</v>
      </c>
      <c r="G36" s="4" t="s">
        <v>798</v>
      </c>
      <c r="H36" s="4" t="s">
        <v>799</v>
      </c>
      <c r="J36" s="8">
        <v>2</v>
      </c>
      <c r="K36" s="8" t="s">
        <v>44</v>
      </c>
      <c r="L36" s="19" t="s">
        <v>17</v>
      </c>
      <c r="M36" s="8">
        <v>2.7663899999999999</v>
      </c>
      <c r="N36" s="8">
        <v>0.47652699999999998</v>
      </c>
      <c r="O36" s="8">
        <v>0.833152</v>
      </c>
      <c r="P36" s="8">
        <v>3.179647703167265</v>
      </c>
    </row>
    <row r="37" spans="1:16" ht="15.5" thickTop="1" thickBot="1" x14ac:dyDescent="0.4">
      <c r="A37" s="44"/>
      <c r="B37" s="3" t="s">
        <v>26</v>
      </c>
      <c r="C37" s="3" t="s">
        <v>800</v>
      </c>
      <c r="D37" s="3" t="s">
        <v>801</v>
      </c>
      <c r="E37" s="3" t="s">
        <v>802</v>
      </c>
      <c r="F37" s="3" t="s">
        <v>803</v>
      </c>
      <c r="G37" s="3" t="s">
        <v>804</v>
      </c>
      <c r="H37" s="3" t="s">
        <v>805</v>
      </c>
      <c r="J37" s="8">
        <v>3</v>
      </c>
      <c r="K37" s="8" t="s">
        <v>44</v>
      </c>
      <c r="L37" s="19" t="s">
        <v>17</v>
      </c>
      <c r="M37" s="8">
        <f t="shared" ref="M37:O37" si="12">AVERAGE(M32:M36)</f>
        <v>2.8218157499999998</v>
      </c>
      <c r="N37" s="8">
        <f t="shared" si="12"/>
        <v>0.39415924999999996</v>
      </c>
      <c r="O37" s="8">
        <f t="shared" si="12"/>
        <v>0.83227574999999998</v>
      </c>
      <c r="P37" s="8">
        <v>3.3000841945381927</v>
      </c>
    </row>
    <row r="38" spans="1:16" ht="15.5" thickTop="1" thickBot="1" x14ac:dyDescent="0.4">
      <c r="A38" s="45"/>
      <c r="B38" s="4" t="s">
        <v>35</v>
      </c>
      <c r="C38" s="4" t="s">
        <v>806</v>
      </c>
      <c r="D38" s="4" t="s">
        <v>807</v>
      </c>
      <c r="E38" s="4" t="s">
        <v>808</v>
      </c>
      <c r="F38" s="4" t="s">
        <v>809</v>
      </c>
      <c r="G38" s="4" t="s">
        <v>810</v>
      </c>
      <c r="H38" s="4" t="s">
        <v>811</v>
      </c>
      <c r="J38" s="8">
        <v>4</v>
      </c>
      <c r="K38" s="8" t="s">
        <v>44</v>
      </c>
      <c r="L38" s="19" t="s">
        <v>17</v>
      </c>
      <c r="M38" s="8">
        <f t="shared" ref="M38:O38" si="13">_xlfn.STDEV.S(M32:M36)</f>
        <v>0.49043238463542155</v>
      </c>
      <c r="N38" s="8">
        <f t="shared" si="13"/>
        <v>6.0600163734824332E-2</v>
      </c>
      <c r="O38" s="8">
        <f t="shared" si="13"/>
        <v>3.0148176216605538E-2</v>
      </c>
      <c r="P38" s="8">
        <v>2.7956289040094338</v>
      </c>
    </row>
    <row r="39" spans="1:16" ht="15.5" thickTop="1" thickBot="1" x14ac:dyDescent="0.4">
      <c r="A39" s="43" t="s">
        <v>316</v>
      </c>
      <c r="B39" s="3" t="s">
        <v>17</v>
      </c>
      <c r="C39" s="3" t="s">
        <v>812</v>
      </c>
      <c r="D39" s="3" t="s">
        <v>813</v>
      </c>
      <c r="E39" s="3" t="s">
        <v>814</v>
      </c>
      <c r="F39" s="3" t="s">
        <v>815</v>
      </c>
      <c r="G39" s="3" t="s">
        <v>816</v>
      </c>
      <c r="H39" s="3" t="s">
        <v>817</v>
      </c>
      <c r="J39" s="20" t="s">
        <v>362</v>
      </c>
      <c r="K39" s="20" t="s">
        <v>44</v>
      </c>
      <c r="L39" s="22" t="s">
        <v>17</v>
      </c>
      <c r="M39" s="20">
        <f t="shared" ref="M39:O39" si="14">M38/SQRT(COUNT(M32:M36))</f>
        <v>0.21932803008242518</v>
      </c>
      <c r="N39" s="20">
        <f t="shared" si="14"/>
        <v>2.7101217111736946E-2</v>
      </c>
      <c r="O39" s="20">
        <f t="shared" si="14"/>
        <v>1.3482674283594481E-2</v>
      </c>
      <c r="P39" s="20">
        <v>3.0241777814971487</v>
      </c>
    </row>
    <row r="40" spans="1:16" ht="15.5" thickTop="1" thickBot="1" x14ac:dyDescent="0.4">
      <c r="A40" s="44"/>
      <c r="B40" s="4" t="s">
        <v>26</v>
      </c>
      <c r="C40" s="4" t="s">
        <v>818</v>
      </c>
      <c r="D40" s="4" t="s">
        <v>819</v>
      </c>
      <c r="E40" s="4" t="s">
        <v>820</v>
      </c>
      <c r="F40" s="4" t="s">
        <v>821</v>
      </c>
      <c r="G40" s="4" t="s">
        <v>822</v>
      </c>
      <c r="H40" s="4" t="s">
        <v>823</v>
      </c>
      <c r="J40" s="20" t="s">
        <v>363</v>
      </c>
      <c r="K40" s="13" t="s">
        <v>44</v>
      </c>
      <c r="L40" s="21" t="s">
        <v>17</v>
      </c>
      <c r="M40" s="13">
        <v>2.298273</v>
      </c>
      <c r="N40" s="13">
        <v>0.36999300000000002</v>
      </c>
      <c r="O40" s="13">
        <v>0.79573700000000003</v>
      </c>
      <c r="P40" s="13">
        <v>0.25407926066873354</v>
      </c>
    </row>
    <row r="41" spans="1:16" ht="15.5" thickTop="1" thickBot="1" x14ac:dyDescent="0.4">
      <c r="A41" s="45"/>
      <c r="B41" s="3" t="s">
        <v>35</v>
      </c>
      <c r="C41" s="3" t="s">
        <v>824</v>
      </c>
      <c r="D41" s="3" t="s">
        <v>825</v>
      </c>
      <c r="E41" s="3" t="s">
        <v>826</v>
      </c>
      <c r="F41" s="3" t="s">
        <v>827</v>
      </c>
      <c r="G41" s="3" t="s">
        <v>828</v>
      </c>
      <c r="H41" s="3" t="s">
        <v>829</v>
      </c>
      <c r="J41" s="20" t="s">
        <v>364</v>
      </c>
      <c r="K41" s="13" t="s">
        <v>44</v>
      </c>
      <c r="L41" s="21" t="s">
        <v>17</v>
      </c>
      <c r="M41" s="16">
        <v>2.4951099999999999</v>
      </c>
      <c r="N41" s="16">
        <v>0.42896800000000002</v>
      </c>
      <c r="O41" s="16">
        <v>0.81247999999999998</v>
      </c>
      <c r="P41" s="16">
        <v>0.11362769970563537</v>
      </c>
    </row>
    <row r="42" spans="1:16" ht="15.5" thickTop="1" thickBot="1" x14ac:dyDescent="0.4">
      <c r="A42" s="43" t="s">
        <v>340</v>
      </c>
      <c r="B42" s="4" t="s">
        <v>17</v>
      </c>
      <c r="C42" s="4" t="s">
        <v>830</v>
      </c>
      <c r="D42" s="4" t="s">
        <v>831</v>
      </c>
      <c r="E42" s="4" t="s">
        <v>832</v>
      </c>
      <c r="F42" s="4" t="s">
        <v>833</v>
      </c>
      <c r="G42" s="4" t="s">
        <v>834</v>
      </c>
      <c r="H42" s="4" t="s">
        <v>835</v>
      </c>
      <c r="J42" s="8">
        <v>1</v>
      </c>
      <c r="K42" s="8" t="s">
        <v>44</v>
      </c>
      <c r="L42" s="8" t="s">
        <v>26</v>
      </c>
      <c r="M42" s="8">
        <f>AVERAGE(M40:M41,M43)</f>
        <v>2.5215936666666665</v>
      </c>
      <c r="N42" s="8">
        <v>0.40851300000000001</v>
      </c>
      <c r="O42" s="8">
        <v>0.84792699999999999</v>
      </c>
      <c r="P42" s="8">
        <v>3.0681532118251091</v>
      </c>
    </row>
    <row r="43" spans="1:16" ht="15.5" thickTop="1" thickBot="1" x14ac:dyDescent="0.4">
      <c r="A43" s="44"/>
      <c r="B43" s="3" t="s">
        <v>26</v>
      </c>
      <c r="C43" s="3" t="s">
        <v>836</v>
      </c>
      <c r="D43" s="3" t="s">
        <v>837</v>
      </c>
      <c r="E43" s="3" t="s">
        <v>838</v>
      </c>
      <c r="F43" s="3" t="s">
        <v>839</v>
      </c>
      <c r="G43" s="3" t="s">
        <v>840</v>
      </c>
      <c r="H43" s="3" t="s">
        <v>841</v>
      </c>
      <c r="J43" s="8">
        <v>4</v>
      </c>
      <c r="K43" s="8" t="s">
        <v>44</v>
      </c>
      <c r="L43" s="8" t="s">
        <v>26</v>
      </c>
      <c r="M43" s="8">
        <v>2.771398</v>
      </c>
      <c r="N43" s="8">
        <v>0.36824400000000002</v>
      </c>
      <c r="O43" s="8">
        <v>0.83260500000000004</v>
      </c>
      <c r="P43" s="8">
        <v>3.0060760191534586</v>
      </c>
    </row>
    <row r="44" spans="1:16" ht="15.5" thickTop="1" thickBot="1" x14ac:dyDescent="0.4">
      <c r="A44" s="45"/>
      <c r="B44" s="4" t="s">
        <v>35</v>
      </c>
      <c r="C44" s="4" t="s">
        <v>842</v>
      </c>
      <c r="D44" s="4" t="s">
        <v>843</v>
      </c>
      <c r="E44" s="4" t="s">
        <v>844</v>
      </c>
      <c r="F44" s="4" t="s">
        <v>845</v>
      </c>
      <c r="G44" s="4" t="s">
        <v>846</v>
      </c>
      <c r="H44" s="4" t="s">
        <v>847</v>
      </c>
      <c r="J44" s="8">
        <v>5</v>
      </c>
      <c r="K44" s="8" t="s">
        <v>44</v>
      </c>
      <c r="L44" s="8" t="s">
        <v>26</v>
      </c>
      <c r="M44" s="8">
        <f t="shared" ref="M44:O44" si="15">AVERAGE(M40:M43)</f>
        <v>2.5215936666666665</v>
      </c>
      <c r="N44" s="8">
        <f t="shared" si="15"/>
        <v>0.39392949999999999</v>
      </c>
      <c r="O44" s="8">
        <f t="shared" si="15"/>
        <v>0.82218725000000004</v>
      </c>
      <c r="P44" s="8">
        <v>2.9008741868806616</v>
      </c>
    </row>
    <row r="45" spans="1:16" ht="15" thickTop="1" x14ac:dyDescent="0.35">
      <c r="J45" s="8">
        <v>1</v>
      </c>
      <c r="K45" s="8" t="s">
        <v>44</v>
      </c>
      <c r="L45" s="8" t="s">
        <v>26</v>
      </c>
      <c r="M45" s="8">
        <f t="shared" ref="M45:O45" si="16">_xlfn.STDEV.S(M40:M43)</f>
        <v>0.19405816113789759</v>
      </c>
      <c r="N45" s="8">
        <f t="shared" si="16"/>
        <v>2.9850046884385289E-2</v>
      </c>
      <c r="O45" s="8">
        <f t="shared" si="16"/>
        <v>2.2839371508793019E-2</v>
      </c>
      <c r="P45" s="8">
        <v>3.2530192565934155</v>
      </c>
    </row>
    <row r="46" spans="1:16" x14ac:dyDescent="0.35">
      <c r="J46" s="8">
        <v>4</v>
      </c>
      <c r="K46" s="8" t="s">
        <v>44</v>
      </c>
      <c r="L46" s="8" t="s">
        <v>26</v>
      </c>
      <c r="M46" s="8">
        <f t="shared" ref="M46:O46" si="17">M45/SQRT(COUNT(M39:M43))</f>
        <v>8.6785447978589392E-2</v>
      </c>
      <c r="N46" s="8">
        <f t="shared" si="17"/>
        <v>1.3349346793008261E-2</v>
      </c>
      <c r="O46" s="8">
        <f t="shared" si="17"/>
        <v>1.0214077451406624E-2</v>
      </c>
      <c r="P46" s="8">
        <v>3.3097001309205787</v>
      </c>
    </row>
    <row r="47" spans="1:16" x14ac:dyDescent="0.35">
      <c r="J47" s="8">
        <v>5</v>
      </c>
      <c r="K47" s="8" t="s">
        <v>44</v>
      </c>
      <c r="L47" s="8" t="s">
        <v>26</v>
      </c>
      <c r="M47" s="8">
        <v>2.8175430000000001</v>
      </c>
      <c r="N47" s="8">
        <v>0.535416</v>
      </c>
      <c r="O47" s="8">
        <v>0.83834500000000001</v>
      </c>
      <c r="P47" s="8">
        <v>3.0420549051817058</v>
      </c>
    </row>
    <row r="48" spans="1:16" x14ac:dyDescent="0.35">
      <c r="J48" s="8">
        <v>1</v>
      </c>
      <c r="K48" s="8" t="s">
        <v>44</v>
      </c>
      <c r="L48" s="8" t="s">
        <v>26</v>
      </c>
      <c r="M48" s="8">
        <v>2.5102579999999999</v>
      </c>
      <c r="N48" s="8">
        <f>AVERAGE(N49:N50,N47)</f>
        <v>0.45315766666666663</v>
      </c>
      <c r="O48" s="8">
        <v>0.81653299999999995</v>
      </c>
      <c r="P48" s="8">
        <v>3.2217129681929153</v>
      </c>
    </row>
    <row r="49" spans="10:16" x14ac:dyDescent="0.35">
      <c r="J49" s="8">
        <v>2</v>
      </c>
      <c r="K49" s="8" t="s">
        <v>44</v>
      </c>
      <c r="L49" s="8" t="s">
        <v>26</v>
      </c>
      <c r="M49" s="8">
        <f>AVERAGE(M47:M48,M50)</f>
        <v>2.7158176666666667</v>
      </c>
      <c r="N49" s="8">
        <v>0.410854</v>
      </c>
      <c r="O49" s="8">
        <v>0.86916899999999997</v>
      </c>
      <c r="P49" s="8">
        <v>3.2890963181835882</v>
      </c>
    </row>
    <row r="50" spans="10:16" x14ac:dyDescent="0.35">
      <c r="J50" s="8">
        <v>4</v>
      </c>
      <c r="K50" s="8" t="s">
        <v>44</v>
      </c>
      <c r="L50" s="8" t="s">
        <v>26</v>
      </c>
      <c r="M50" s="8">
        <v>2.819652</v>
      </c>
      <c r="N50" s="8">
        <v>0.41320299999999999</v>
      </c>
      <c r="O50" s="8">
        <v>0.83848100000000003</v>
      </c>
      <c r="P50" s="8">
        <v>3.4961604906792969</v>
      </c>
    </row>
    <row r="51" spans="10:16" x14ac:dyDescent="0.35">
      <c r="J51" s="20" t="s">
        <v>362</v>
      </c>
      <c r="K51" s="20" t="s">
        <v>44</v>
      </c>
      <c r="L51" s="20" t="s">
        <v>26</v>
      </c>
      <c r="M51" s="20">
        <f t="shared" ref="M51:O51" si="18">AVERAGE(M47:M50)</f>
        <v>2.7158176666666667</v>
      </c>
      <c r="N51" s="20">
        <f t="shared" si="18"/>
        <v>0.45315766666666668</v>
      </c>
      <c r="O51" s="20">
        <f t="shared" si="18"/>
        <v>0.84063200000000005</v>
      </c>
      <c r="P51" s="20">
        <v>3.1763163875123031</v>
      </c>
    </row>
    <row r="52" spans="10:16" x14ac:dyDescent="0.35">
      <c r="J52" s="20" t="s">
        <v>363</v>
      </c>
      <c r="K52" s="13" t="s">
        <v>44</v>
      </c>
      <c r="L52" s="13" t="s">
        <v>26</v>
      </c>
      <c r="M52" s="13">
        <f t="shared" ref="M52:O52" si="19">_xlfn.STDEV.S(M47:M50)</f>
        <v>0.14535518426790145</v>
      </c>
      <c r="N52" s="13">
        <f t="shared" si="19"/>
        <v>5.8173330099701527E-2</v>
      </c>
      <c r="O52" s="13">
        <f t="shared" si="19"/>
        <v>2.1640851338768231E-2</v>
      </c>
      <c r="P52" s="13">
        <v>0.18551636480422468</v>
      </c>
    </row>
    <row r="53" spans="10:16" x14ac:dyDescent="0.35">
      <c r="J53" s="20" t="s">
        <v>364</v>
      </c>
      <c r="K53" s="13" t="s">
        <v>44</v>
      </c>
      <c r="L53" s="13" t="s">
        <v>26</v>
      </c>
      <c r="M53" s="16">
        <f t="shared" ref="M53:O53" si="20">M52/SQRT(COUNT(M46:M50))</f>
        <v>6.5004814581007125E-2</v>
      </c>
      <c r="N53" s="16">
        <f t="shared" si="20"/>
        <v>2.6015904116093447E-2</v>
      </c>
      <c r="O53" s="16">
        <f t="shared" si="20"/>
        <v>9.6780829368906182E-3</v>
      </c>
      <c r="P53" s="16">
        <v>8.2965440528179168E-2</v>
      </c>
    </row>
    <row r="54" spans="10:16" x14ac:dyDescent="0.35">
      <c r="J54" s="8">
        <v>1</v>
      </c>
      <c r="K54" s="8" t="s">
        <v>44</v>
      </c>
      <c r="L54" s="8" t="s">
        <v>35</v>
      </c>
      <c r="M54" s="8">
        <v>2.4270550000000002</v>
      </c>
      <c r="N54" s="8">
        <f>AVERAGE(N55:N57)</f>
        <v>0.43782666666666664</v>
      </c>
      <c r="O54" s="8">
        <v>0.80750500000000003</v>
      </c>
      <c r="P54" s="8">
        <v>3.2217129681929153</v>
      </c>
    </row>
    <row r="55" spans="10:16" x14ac:dyDescent="0.35">
      <c r="J55" s="8">
        <v>2</v>
      </c>
      <c r="K55" s="8" t="s">
        <v>44</v>
      </c>
      <c r="L55" s="8" t="s">
        <v>35</v>
      </c>
      <c r="M55" s="8">
        <f>AVERAGE(M56:M57,M54)</f>
        <v>2.8938846666666671</v>
      </c>
      <c r="N55" s="8">
        <v>0.44900299999999999</v>
      </c>
      <c r="O55" s="8">
        <v>0.76672799999999997</v>
      </c>
      <c r="P55" s="8">
        <v>3.2890963181835882</v>
      </c>
    </row>
    <row r="56" spans="10:16" x14ac:dyDescent="0.35">
      <c r="J56" s="8">
        <v>4</v>
      </c>
      <c r="K56" s="8" t="s">
        <v>44</v>
      </c>
      <c r="L56" s="8" t="s">
        <v>35</v>
      </c>
      <c r="M56" s="8">
        <v>3.2601270000000002</v>
      </c>
      <c r="N56" s="8">
        <v>0.43547200000000003</v>
      </c>
      <c r="O56" s="8">
        <v>0.861344</v>
      </c>
      <c r="P56" s="8">
        <v>3.4961604906792969</v>
      </c>
    </row>
    <row r="57" spans="10:16" x14ac:dyDescent="0.35">
      <c r="J57" s="8">
        <v>1</v>
      </c>
      <c r="K57" s="8" t="s">
        <v>44</v>
      </c>
      <c r="L57" s="8" t="s">
        <v>35</v>
      </c>
      <c r="M57" s="8">
        <v>2.994472</v>
      </c>
      <c r="N57" s="8">
        <v>0.42900500000000003</v>
      </c>
      <c r="O57" s="8">
        <v>0.84702</v>
      </c>
      <c r="P57" s="8">
        <v>3.3689549182502034</v>
      </c>
    </row>
    <row r="58" spans="10:16" x14ac:dyDescent="0.35">
      <c r="J58" s="8">
        <v>2</v>
      </c>
      <c r="K58" s="8" t="s">
        <v>44</v>
      </c>
      <c r="L58" s="8" t="s">
        <v>35</v>
      </c>
      <c r="M58" s="8">
        <f t="shared" ref="M58:O58" si="21">AVERAGE(M54:M57)</f>
        <v>2.8938846666666671</v>
      </c>
      <c r="N58" s="8">
        <f t="shared" si="21"/>
        <v>0.4378266666666667</v>
      </c>
      <c r="O58" s="8">
        <f t="shared" si="21"/>
        <v>0.82064925</v>
      </c>
      <c r="P58" s="8">
        <v>2.9849150166701626</v>
      </c>
    </row>
    <row r="59" spans="10:16" x14ac:dyDescent="0.35">
      <c r="J59" s="8">
        <v>5</v>
      </c>
      <c r="K59" s="8" t="s">
        <v>44</v>
      </c>
      <c r="L59" s="8" t="s">
        <v>35</v>
      </c>
      <c r="M59" s="8">
        <f t="shared" ref="M59:O59" si="22">_xlfn.STDEV.S(M54:M57)</f>
        <v>0.34745800515201747</v>
      </c>
      <c r="N59" s="8">
        <f t="shared" si="22"/>
        <v>8.332200282971795E-3</v>
      </c>
      <c r="O59" s="8">
        <f t="shared" si="22"/>
        <v>4.2550956286747162E-2</v>
      </c>
      <c r="P59" s="8">
        <v>3.5679917518727824</v>
      </c>
    </row>
    <row r="60" spans="10:16" x14ac:dyDescent="0.35">
      <c r="J60" s="8">
        <v>2</v>
      </c>
      <c r="K60" s="8" t="s">
        <v>44</v>
      </c>
      <c r="L60" s="8" t="s">
        <v>35</v>
      </c>
      <c r="M60" s="8">
        <f t="shared" ref="M60:O60" si="23">M59/SQRT(COUNT(M53:M57))</f>
        <v>0.15538794376927664</v>
      </c>
      <c r="N60" s="8">
        <f t="shared" si="23"/>
        <v>3.7262732469735831E-3</v>
      </c>
      <c r="O60" s="8">
        <f t="shared" si="23"/>
        <v>1.9029366152957736E-2</v>
      </c>
      <c r="P60" s="8">
        <v>4.0377720437559761</v>
      </c>
    </row>
    <row r="61" spans="10:16" x14ac:dyDescent="0.35">
      <c r="J61" s="8">
        <v>3</v>
      </c>
      <c r="K61" s="8" t="s">
        <v>44</v>
      </c>
      <c r="L61" s="8" t="s">
        <v>35</v>
      </c>
      <c r="M61" s="8">
        <v>3.0904829999999999</v>
      </c>
      <c r="N61" s="8">
        <v>0.45154300000000003</v>
      </c>
      <c r="O61" s="8">
        <v>0.85685100000000003</v>
      </c>
      <c r="P61" s="8">
        <v>3.206397875082903</v>
      </c>
    </row>
    <row r="62" spans="10:16" x14ac:dyDescent="0.35">
      <c r="J62" s="8">
        <v>6</v>
      </c>
      <c r="K62" s="8" t="s">
        <v>44</v>
      </c>
      <c r="L62" s="8" t="s">
        <v>35</v>
      </c>
      <c r="M62" s="8">
        <v>3.9795799999999999</v>
      </c>
      <c r="N62" s="8">
        <v>0.27066200000000001</v>
      </c>
      <c r="O62" s="8">
        <v>0.89491699999999996</v>
      </c>
      <c r="P62" s="8">
        <v>3.5678513921565389</v>
      </c>
    </row>
    <row r="63" spans="10:16" x14ac:dyDescent="0.35">
      <c r="J63" s="20" t="s">
        <v>362</v>
      </c>
      <c r="K63" s="20" t="s">
        <v>44</v>
      </c>
      <c r="L63" s="20" t="s">
        <v>35</v>
      </c>
      <c r="M63" s="20">
        <v>2.5528040000000001</v>
      </c>
      <c r="N63" s="20">
        <v>0.438473</v>
      </c>
      <c r="O63" s="20">
        <v>0.822353</v>
      </c>
      <c r="P63" s="20">
        <v>3.4156503083160406</v>
      </c>
    </row>
    <row r="64" spans="10:16" x14ac:dyDescent="0.35">
      <c r="J64" s="20" t="s">
        <v>363</v>
      </c>
      <c r="K64" s="13" t="s">
        <v>44</v>
      </c>
      <c r="L64" s="13" t="s">
        <v>35</v>
      </c>
      <c r="M64" s="13">
        <f>AVERAGE(M61:M63,M65)</f>
        <v>3.0443734999999998</v>
      </c>
      <c r="N64" s="13">
        <v>0.42084899999999997</v>
      </c>
      <c r="O64" s="13">
        <v>0.92412000000000005</v>
      </c>
      <c r="P64" s="13">
        <v>0.30104359413697523</v>
      </c>
    </row>
    <row r="65" spans="10:16" x14ac:dyDescent="0.35">
      <c r="J65" s="20" t="s">
        <v>364</v>
      </c>
      <c r="K65" s="13" t="s">
        <v>44</v>
      </c>
      <c r="L65" s="13" t="s">
        <v>35</v>
      </c>
      <c r="M65" s="16">
        <v>2.554627</v>
      </c>
      <c r="N65" s="16">
        <v>0.45894800000000002</v>
      </c>
      <c r="O65" s="16">
        <v>0.839476</v>
      </c>
      <c r="P65" s="16">
        <v>0.13463078813622675</v>
      </c>
    </row>
    <row r="66" spans="10:16" x14ac:dyDescent="0.35">
      <c r="J66" s="8">
        <v>1</v>
      </c>
      <c r="K66" s="8" t="s">
        <v>69</v>
      </c>
      <c r="L66" s="19" t="s">
        <v>17</v>
      </c>
      <c r="M66" s="8">
        <f t="shared" ref="M66:O66" si="24">AVERAGE(M63:M65,M61)</f>
        <v>2.8105718749999999</v>
      </c>
      <c r="N66" s="8">
        <f t="shared" si="24"/>
        <v>0.44245325000000002</v>
      </c>
      <c r="O66" s="8">
        <f t="shared" si="24"/>
        <v>0.86070000000000002</v>
      </c>
      <c r="P66" s="8">
        <v>2.8478754302844012</v>
      </c>
    </row>
    <row r="67" spans="10:16" x14ac:dyDescent="0.35">
      <c r="J67" s="8">
        <v>2</v>
      </c>
      <c r="K67" s="8" t="s">
        <v>69</v>
      </c>
      <c r="L67" s="19" t="s">
        <v>17</v>
      </c>
      <c r="M67" s="8">
        <f t="shared" ref="M67:O67" si="25">AVERAGE(M61:M66)</f>
        <v>3.0054065624999997</v>
      </c>
      <c r="N67" s="8">
        <f t="shared" si="25"/>
        <v>0.41382137499999994</v>
      </c>
      <c r="O67" s="8">
        <f t="shared" si="25"/>
        <v>0.86640283333333346</v>
      </c>
      <c r="P67" s="8">
        <v>3.038241344562894</v>
      </c>
    </row>
    <row r="68" spans="10:16" x14ac:dyDescent="0.35">
      <c r="J68" s="8">
        <v>3</v>
      </c>
      <c r="K68" s="8" t="s">
        <v>69</v>
      </c>
      <c r="L68" s="19" t="s">
        <v>17</v>
      </c>
      <c r="M68" s="8">
        <f t="shared" ref="M68:O68" si="26">_xlfn.STDEV.S(M61:M66)</f>
        <v>0.52986454075902567</v>
      </c>
      <c r="N68" s="8">
        <f t="shared" si="26"/>
        <v>7.1317339155662823E-2</v>
      </c>
      <c r="O68" s="8">
        <f t="shared" si="26"/>
        <v>3.7238504338475614E-2</v>
      </c>
      <c r="P68" s="8">
        <v>2.9398313544268064</v>
      </c>
    </row>
    <row r="69" spans="10:16" x14ac:dyDescent="0.35">
      <c r="J69" s="8">
        <v>4</v>
      </c>
      <c r="K69" s="8" t="s">
        <v>69</v>
      </c>
      <c r="L69" s="19" t="s">
        <v>17</v>
      </c>
      <c r="M69" s="8">
        <f t="shared" ref="M69:O69" si="27">M68/SQRT(COUNT(M62:M66))</f>
        <v>0.23696262640077786</v>
      </c>
      <c r="N69" s="8">
        <f t="shared" si="27"/>
        <v>3.1894083665293907E-2</v>
      </c>
      <c r="O69" s="8">
        <f t="shared" si="27"/>
        <v>1.665356541625046E-2</v>
      </c>
      <c r="P69" s="8">
        <v>2.9264802660662848</v>
      </c>
    </row>
    <row r="70" spans="10:16" x14ac:dyDescent="0.35">
      <c r="J70" s="20" t="s">
        <v>362</v>
      </c>
      <c r="K70" s="20" t="s">
        <v>69</v>
      </c>
      <c r="L70" s="22" t="s">
        <v>17</v>
      </c>
      <c r="M70" s="20">
        <v>2.047266</v>
      </c>
      <c r="N70" s="20">
        <v>0.47771599999999997</v>
      </c>
      <c r="O70" s="20">
        <v>0.79539000000000004</v>
      </c>
      <c r="P70" s="20">
        <v>2.9381070988350966</v>
      </c>
    </row>
    <row r="71" spans="10:16" x14ac:dyDescent="0.35">
      <c r="J71" s="20" t="s">
        <v>363</v>
      </c>
      <c r="K71" s="13" t="s">
        <v>69</v>
      </c>
      <c r="L71" s="21" t="s">
        <v>17</v>
      </c>
      <c r="M71" s="13">
        <v>2.1486230000000002</v>
      </c>
      <c r="N71" s="13">
        <f>AVERAGE(N70,N72)</f>
        <v>0.47397599999999995</v>
      </c>
      <c r="O71" s="13">
        <v>0.77845500000000001</v>
      </c>
      <c r="P71" s="13">
        <v>7.8116958198368433E-2</v>
      </c>
    </row>
    <row r="72" spans="10:16" x14ac:dyDescent="0.35">
      <c r="J72" s="20" t="s">
        <v>364</v>
      </c>
      <c r="K72" s="13" t="s">
        <v>69</v>
      </c>
      <c r="L72" s="21" t="s">
        <v>17</v>
      </c>
      <c r="M72" s="16">
        <v>2.1270370000000001</v>
      </c>
      <c r="N72" s="16">
        <v>0.47023599999999999</v>
      </c>
      <c r="O72" s="16">
        <v>0.78805499999999995</v>
      </c>
      <c r="P72" s="16">
        <v>3.4934965745412265E-2</v>
      </c>
    </row>
    <row r="73" spans="10:16" x14ac:dyDescent="0.35">
      <c r="J73" s="8">
        <v>5</v>
      </c>
      <c r="K73" s="8" t="s">
        <v>69</v>
      </c>
      <c r="L73" s="8" t="s">
        <v>26</v>
      </c>
      <c r="M73" s="8">
        <f t="shared" ref="M73:O73" si="28">AVERAGE(M70:M72)</f>
        <v>2.1076420000000002</v>
      </c>
      <c r="N73" s="8">
        <f t="shared" si="28"/>
        <v>0.47397599999999995</v>
      </c>
      <c r="O73" s="8">
        <f t="shared" si="28"/>
        <v>0.7873</v>
      </c>
      <c r="P73" s="8">
        <v>3.6612364872559753</v>
      </c>
    </row>
    <row r="74" spans="10:16" x14ac:dyDescent="0.35">
      <c r="J74" s="8" t="s">
        <v>370</v>
      </c>
      <c r="K74" s="8" t="s">
        <v>69</v>
      </c>
      <c r="L74" s="8" t="s">
        <v>26</v>
      </c>
      <c r="M74" s="8">
        <f t="shared" ref="M74:O74" si="29">_xlfn.STDEV.S(M70:M72)</f>
        <v>5.3389464138535854E-2</v>
      </c>
      <c r="N74" s="8">
        <f t="shared" si="29"/>
        <v>3.7399999999999933E-3</v>
      </c>
      <c r="O74" s="8">
        <f t="shared" si="29"/>
        <v>8.4927071655627115E-3</v>
      </c>
      <c r="P74" s="8">
        <v>2.891115186246608</v>
      </c>
    </row>
    <row r="75" spans="10:16" x14ac:dyDescent="0.35">
      <c r="J75" s="8" t="s">
        <v>371</v>
      </c>
      <c r="K75" s="8" t="s">
        <v>69</v>
      </c>
      <c r="L75" s="8" t="s">
        <v>26</v>
      </c>
      <c r="M75" s="8">
        <f t="shared" ref="M75:O75" si="30">M74/SQRT(COUNT(M68:M72))</f>
        <v>2.3876494219210682E-2</v>
      </c>
      <c r="N75" s="8">
        <f t="shared" si="30"/>
        <v>1.6725788471698396E-3</v>
      </c>
      <c r="O75" s="8">
        <f t="shared" si="30"/>
        <v>3.7980541070395564E-3</v>
      </c>
      <c r="P75" s="8">
        <v>2.963468076499356</v>
      </c>
    </row>
    <row r="76" spans="10:16" x14ac:dyDescent="0.35">
      <c r="J76" s="8" t="s">
        <v>372</v>
      </c>
      <c r="K76" s="8" t="s">
        <v>69</v>
      </c>
      <c r="L76" s="8" t="s">
        <v>26</v>
      </c>
      <c r="M76" s="8">
        <f t="shared" ref="M76:O76" si="31">AVERAGE(M77:M79)</f>
        <v>2.8685233333333335</v>
      </c>
      <c r="N76" s="8">
        <f t="shared" si="31"/>
        <v>0.36584866666666666</v>
      </c>
      <c r="O76" s="8">
        <f t="shared" si="31"/>
        <v>0.84768466666666675</v>
      </c>
      <c r="P76" s="8">
        <v>2.9179035957902864</v>
      </c>
    </row>
    <row r="77" spans="10:16" x14ac:dyDescent="0.35">
      <c r="J77" s="8">
        <v>1</v>
      </c>
      <c r="K77" s="8" t="s">
        <v>69</v>
      </c>
      <c r="L77" s="8" t="s">
        <v>26</v>
      </c>
      <c r="M77" s="8">
        <v>2.8102870000000002</v>
      </c>
      <c r="N77" s="8">
        <v>0.37575999999999998</v>
      </c>
      <c r="O77" s="8">
        <v>0.84410099999999999</v>
      </c>
      <c r="P77" s="8">
        <v>3.1958825030852798</v>
      </c>
    </row>
    <row r="78" spans="10:16" x14ac:dyDescent="0.35">
      <c r="J78" s="8">
        <v>4</v>
      </c>
      <c r="K78" s="8" t="s">
        <v>69</v>
      </c>
      <c r="L78" s="8" t="s">
        <v>26</v>
      </c>
      <c r="M78" s="8">
        <v>2.8522349999999999</v>
      </c>
      <c r="N78" s="8">
        <v>0.44462800000000002</v>
      </c>
      <c r="O78" s="8">
        <v>0.84674799999999995</v>
      </c>
      <c r="P78" s="8">
        <v>3.1176140622203961</v>
      </c>
    </row>
    <row r="79" spans="10:16" x14ac:dyDescent="0.35">
      <c r="J79" s="8">
        <v>6</v>
      </c>
      <c r="K79" s="8" t="s">
        <v>69</v>
      </c>
      <c r="L79" s="8" t="s">
        <v>26</v>
      </c>
      <c r="M79" s="8">
        <v>2.9430480000000001</v>
      </c>
      <c r="N79" s="8">
        <v>0.27715800000000002</v>
      </c>
      <c r="O79" s="8">
        <v>0.85220499999999999</v>
      </c>
      <c r="P79" s="8">
        <v>3.0968593989506998</v>
      </c>
    </row>
    <row r="80" spans="10:16" x14ac:dyDescent="0.35">
      <c r="J80" s="8">
        <v>3</v>
      </c>
      <c r="K80" s="8" t="s">
        <v>69</v>
      </c>
      <c r="L80" s="8" t="s">
        <v>26</v>
      </c>
      <c r="M80" s="8">
        <f t="shared" ref="M80:O80" si="32">AVERAGE(M76:M79)</f>
        <v>2.8685233333333331</v>
      </c>
      <c r="N80" s="8">
        <f t="shared" si="32"/>
        <v>0.36584866666666666</v>
      </c>
      <c r="O80" s="8">
        <f t="shared" si="32"/>
        <v>0.84768466666666664</v>
      </c>
      <c r="P80" s="8">
        <v>3.0095908893223271</v>
      </c>
    </row>
    <row r="81" spans="10:16" x14ac:dyDescent="0.35">
      <c r="J81" s="8" t="s">
        <v>373</v>
      </c>
      <c r="K81" s="8" t="s">
        <v>69</v>
      </c>
      <c r="L81" s="8" t="s">
        <v>26</v>
      </c>
      <c r="M81" s="8">
        <f t="shared" ref="M81:O81" si="33">_xlfn.STDEV.S(M76:M79)</f>
        <v>5.5409705120633472E-2</v>
      </c>
      <c r="N81" s="8">
        <f t="shared" si="33"/>
        <v>6.8727607850767841E-2</v>
      </c>
      <c r="O81" s="8">
        <f t="shared" si="33"/>
        <v>3.3740887494090781E-3</v>
      </c>
      <c r="P81" s="8">
        <v>3.3811344415361964</v>
      </c>
    </row>
    <row r="82" spans="10:16" x14ac:dyDescent="0.35">
      <c r="J82" s="8" t="s">
        <v>374</v>
      </c>
      <c r="K82" s="8" t="s">
        <v>69</v>
      </c>
      <c r="L82" s="8" t="s">
        <v>26</v>
      </c>
      <c r="M82" s="8">
        <f t="shared" ref="M82:O82" si="34">M81/SQRT(COUNT(M75:M79))</f>
        <v>2.4779973452590923E-2</v>
      </c>
      <c r="N82" s="8">
        <f t="shared" si="34"/>
        <v>3.0735920617053023E-2</v>
      </c>
      <c r="O82" s="8">
        <f t="shared" si="34"/>
        <v>1.5089383611591903E-3</v>
      </c>
      <c r="P82" s="8">
        <v>2.9984409513261938</v>
      </c>
    </row>
    <row r="83" spans="10:16" x14ac:dyDescent="0.35">
      <c r="J83" s="20" t="s">
        <v>362</v>
      </c>
      <c r="K83" s="20" t="s">
        <v>69</v>
      </c>
      <c r="L83" s="20" t="s">
        <v>26</v>
      </c>
      <c r="M83" s="20">
        <v>1.3048219999999999</v>
      </c>
      <c r="N83" s="20">
        <v>0.383274</v>
      </c>
      <c r="O83" s="20">
        <v>0.66879900000000003</v>
      </c>
      <c r="P83" s="20">
        <v>3.1233245592233319</v>
      </c>
    </row>
    <row r="84" spans="10:16" x14ac:dyDescent="0.35">
      <c r="J84" s="20" t="s">
        <v>363</v>
      </c>
      <c r="K84" s="13" t="s">
        <v>69</v>
      </c>
      <c r="L84" s="13" t="s">
        <v>26</v>
      </c>
      <c r="M84" s="13">
        <f>AVERAGE(M85:M89,M83)</f>
        <v>1.450410480429144</v>
      </c>
      <c r="N84" s="13">
        <v>0.41689424341407522</v>
      </c>
      <c r="O84" s="13">
        <v>0.79154579980608475</v>
      </c>
      <c r="P84" s="13">
        <v>0.23851791705706316</v>
      </c>
    </row>
    <row r="85" spans="10:16" x14ac:dyDescent="0.35">
      <c r="J85" s="20" t="s">
        <v>364</v>
      </c>
      <c r="K85" s="13" t="s">
        <v>69</v>
      </c>
      <c r="L85" s="13" t="s">
        <v>26</v>
      </c>
      <c r="M85" s="16">
        <v>1.3086260000000001</v>
      </c>
      <c r="N85" s="16">
        <v>0.35498000000000002</v>
      </c>
      <c r="O85" s="16">
        <v>0.66423600000000005</v>
      </c>
      <c r="P85" s="16">
        <v>0.10666845527824996</v>
      </c>
    </row>
    <row r="86" spans="10:16" x14ac:dyDescent="0.35">
      <c r="J86" s="8">
        <v>3</v>
      </c>
      <c r="K86" s="8" t="s">
        <v>69</v>
      </c>
      <c r="L86" s="8" t="s">
        <v>35</v>
      </c>
      <c r="M86" s="8">
        <v>1.6106642518510623</v>
      </c>
      <c r="N86" s="8">
        <v>0.48881960107632777</v>
      </c>
      <c r="O86" s="8">
        <v>0.70922756151089883</v>
      </c>
      <c r="P86" s="8">
        <v>3.0095908893223271</v>
      </c>
    </row>
    <row r="87" spans="10:16" x14ac:dyDescent="0.35">
      <c r="J87" s="8" t="s">
        <v>373</v>
      </c>
      <c r="K87" s="8" t="s">
        <v>69</v>
      </c>
      <c r="L87" s="8" t="s">
        <v>35</v>
      </c>
      <c r="M87" s="8">
        <v>1.6055302983122623</v>
      </c>
      <c r="N87" s="8">
        <v>0.28199574158875218</v>
      </c>
      <c r="O87" s="8">
        <v>0.73708379075283281</v>
      </c>
      <c r="P87" s="8">
        <v>3.3811344415361964</v>
      </c>
    </row>
    <row r="88" spans="10:16" x14ac:dyDescent="0.35">
      <c r="J88" s="8" t="s">
        <v>374</v>
      </c>
      <c r="K88" s="8" t="s">
        <v>69</v>
      </c>
      <c r="L88" s="8" t="s">
        <v>35</v>
      </c>
      <c r="M88" s="8">
        <v>1.281129990071374</v>
      </c>
      <c r="N88" s="8">
        <v>0.35185867397630832</v>
      </c>
      <c r="O88" s="8">
        <v>0.68337978383175746</v>
      </c>
      <c r="P88" s="8">
        <v>2.9984409513261938</v>
      </c>
    </row>
    <row r="89" spans="10:16" x14ac:dyDescent="0.35">
      <c r="J89" s="8">
        <v>3</v>
      </c>
      <c r="K89" s="8" t="s">
        <v>69</v>
      </c>
      <c r="L89" s="8" t="s">
        <v>35</v>
      </c>
      <c r="M89" s="8">
        <v>1.591690342340164</v>
      </c>
      <c r="N89" s="8">
        <v>0.35797719419378643</v>
      </c>
      <c r="O89" s="8">
        <v>0.73332662871089416</v>
      </c>
      <c r="P89" s="8">
        <v>2.7633403537888648</v>
      </c>
    </row>
    <row r="90" spans="10:16" x14ac:dyDescent="0.35">
      <c r="J90" s="8">
        <v>4</v>
      </c>
      <c r="K90" s="8" t="s">
        <v>69</v>
      </c>
      <c r="L90" s="8" t="s">
        <v>35</v>
      </c>
      <c r="M90" s="8">
        <f t="shared" ref="M90:O90" si="35">AVERAGE(M83:M89)</f>
        <v>1.450410480429144</v>
      </c>
      <c r="N90" s="8">
        <f t="shared" si="35"/>
        <v>0.37654277917846424</v>
      </c>
      <c r="O90" s="8">
        <f t="shared" si="35"/>
        <v>0.71251408065892397</v>
      </c>
      <c r="P90" s="8">
        <v>3.0270776111275488</v>
      </c>
    </row>
    <row r="91" spans="10:16" x14ac:dyDescent="0.35">
      <c r="J91" s="8">
        <v>6</v>
      </c>
      <c r="K91" s="8" t="s">
        <v>69</v>
      </c>
      <c r="L91" s="8" t="s">
        <v>35</v>
      </c>
      <c r="M91" s="8">
        <f t="shared" ref="M91:O91" si="36">_xlfn.STDEV.S(M83:M89)</f>
        <v>0.15256591880049411</v>
      </c>
      <c r="N91" s="8">
        <f t="shared" si="36"/>
        <v>6.4080309629837073E-2</v>
      </c>
      <c r="O91" s="8">
        <f t="shared" si="36"/>
        <v>4.5431698278330525E-2</v>
      </c>
      <c r="P91" s="8">
        <v>2.7616133242450722</v>
      </c>
    </row>
    <row r="92" spans="10:16" x14ac:dyDescent="0.35">
      <c r="J92" s="8">
        <v>4</v>
      </c>
      <c r="K92" s="8" t="s">
        <v>69</v>
      </c>
      <c r="L92" s="8" t="s">
        <v>35</v>
      </c>
      <c r="M92" s="8">
        <f t="shared" ref="M92:O92" si="37">M91/SQRT(COUNT(M85:M89))</f>
        <v>6.8229553097523599E-2</v>
      </c>
      <c r="N92" s="8">
        <f t="shared" si="37"/>
        <v>2.8657585670310015E-2</v>
      </c>
      <c r="O92" s="8">
        <f t="shared" si="37"/>
        <v>2.0317673136721441E-2</v>
      </c>
      <c r="P92" s="8">
        <v>2.8733277404056179</v>
      </c>
    </row>
    <row r="93" spans="10:16" x14ac:dyDescent="0.35">
      <c r="J93" s="8">
        <v>5</v>
      </c>
      <c r="K93" s="8" t="s">
        <v>69</v>
      </c>
      <c r="L93" s="8" t="s">
        <v>35</v>
      </c>
      <c r="M93" s="8">
        <v>3.113648</v>
      </c>
      <c r="N93" s="8">
        <v>0.39694800000000002</v>
      </c>
      <c r="O93" s="8">
        <v>0.849333</v>
      </c>
      <c r="P93" s="8">
        <v>3.2978495864453485</v>
      </c>
    </row>
    <row r="94" spans="10:16" x14ac:dyDescent="0.35">
      <c r="J94" s="8">
        <v>6</v>
      </c>
      <c r="K94" s="8" t="s">
        <v>69</v>
      </c>
      <c r="L94" s="8" t="s">
        <v>35</v>
      </c>
      <c r="M94" s="8">
        <f>AVERAGE(M95:M96,M93)</f>
        <v>3.1597366666666669</v>
      </c>
      <c r="N94" s="8">
        <f>AVERAGE(N95:N96,N93)</f>
        <v>0.39005500000000004</v>
      </c>
      <c r="O94" s="8">
        <v>0.91339999999999999</v>
      </c>
      <c r="P94" s="8">
        <v>3.2194145558535561</v>
      </c>
    </row>
    <row r="95" spans="10:16" x14ac:dyDescent="0.35">
      <c r="J95" s="20" t="s">
        <v>362</v>
      </c>
      <c r="K95" s="20" t="s">
        <v>69</v>
      </c>
      <c r="L95" s="20" t="s">
        <v>35</v>
      </c>
      <c r="M95" s="20">
        <v>3.107901</v>
      </c>
      <c r="N95" s="20">
        <v>0.34016400000000002</v>
      </c>
      <c r="O95" s="20">
        <v>0.84901700000000002</v>
      </c>
      <c r="P95" s="20">
        <v>3.0368654948945251</v>
      </c>
    </row>
    <row r="96" spans="10:16" x14ac:dyDescent="0.35">
      <c r="J96" s="20" t="s">
        <v>363</v>
      </c>
      <c r="K96" s="13" t="s">
        <v>69</v>
      </c>
      <c r="L96" s="13" t="s">
        <v>35</v>
      </c>
      <c r="M96" s="13">
        <v>3.2576610000000001</v>
      </c>
      <c r="N96" s="13">
        <v>0.43305300000000002</v>
      </c>
      <c r="O96" s="13">
        <v>0.85695900000000003</v>
      </c>
      <c r="P96" s="13">
        <v>0.22349453937819402</v>
      </c>
    </row>
    <row r="97" spans="10:16" x14ac:dyDescent="0.35">
      <c r="J97" s="20" t="s">
        <v>364</v>
      </c>
      <c r="K97" s="13" t="s">
        <v>69</v>
      </c>
      <c r="L97" s="13" t="s">
        <v>35</v>
      </c>
      <c r="M97" s="16">
        <f t="shared" ref="M97:O97" si="38">AVERAGE(M93:M96)</f>
        <v>3.1597366666666669</v>
      </c>
      <c r="N97" s="16">
        <f t="shared" si="38"/>
        <v>0.39005500000000004</v>
      </c>
      <c r="O97" s="16">
        <f t="shared" si="38"/>
        <v>0.8671772499999999</v>
      </c>
      <c r="P97" s="16">
        <v>9.994979652992908E-2</v>
      </c>
    </row>
    <row r="98" spans="10:16" x14ac:dyDescent="0.35">
      <c r="J98" s="8">
        <v>1</v>
      </c>
      <c r="K98" s="8" t="s">
        <v>94</v>
      </c>
      <c r="L98" s="19" t="s">
        <v>17</v>
      </c>
      <c r="M98" s="8">
        <f t="shared" ref="M98:O98" si="39">_xlfn.STDEV.S(M93:M96)</f>
        <v>6.9282697678104049E-2</v>
      </c>
      <c r="N98" s="8">
        <f t="shared" si="39"/>
        <v>3.8233725662038219E-2</v>
      </c>
      <c r="O98" s="8">
        <f t="shared" si="39"/>
        <v>3.1033139215737304E-2</v>
      </c>
      <c r="P98" s="8">
        <v>3.2255292554554522</v>
      </c>
    </row>
    <row r="99" spans="10:16" x14ac:dyDescent="0.35">
      <c r="J99" s="8">
        <v>2</v>
      </c>
      <c r="K99" s="8" t="s">
        <v>94</v>
      </c>
      <c r="L99" s="19" t="s">
        <v>17</v>
      </c>
      <c r="M99" s="8">
        <f t="shared" ref="M99:O99" si="40">M98/SQRT(COUNT(M92:M96))</f>
        <v>3.0984164334561498E-2</v>
      </c>
      <c r="N99" s="8">
        <f t="shared" si="40"/>
        <v>1.7098641922679122E-2</v>
      </c>
      <c r="O99" s="8">
        <f t="shared" si="40"/>
        <v>1.3878441768320624E-2</v>
      </c>
      <c r="P99" s="8">
        <v>2.9594424294874129</v>
      </c>
    </row>
    <row r="100" spans="10:16" x14ac:dyDescent="0.35">
      <c r="J100" s="8">
        <v>3</v>
      </c>
      <c r="K100" s="8" t="s">
        <v>94</v>
      </c>
      <c r="L100" s="19" t="s">
        <v>17</v>
      </c>
      <c r="M100" s="8">
        <v>2.5917050000000001</v>
      </c>
      <c r="N100" s="8">
        <v>0.38839000000000001</v>
      </c>
      <c r="O100" s="8">
        <v>0.82249899999999998</v>
      </c>
      <c r="P100" s="8">
        <v>2.9001389481905688</v>
      </c>
    </row>
    <row r="101" spans="10:16" x14ac:dyDescent="0.35">
      <c r="J101" s="8">
        <v>4</v>
      </c>
      <c r="K101" s="8" t="s">
        <v>94</v>
      </c>
      <c r="L101" s="19" t="s">
        <v>17</v>
      </c>
      <c r="M101" s="8">
        <v>2.8640720000000002</v>
      </c>
      <c r="N101" s="8">
        <v>0.436917</v>
      </c>
      <c r="O101" s="8">
        <v>0.84106499999999995</v>
      </c>
      <c r="P101" s="8">
        <v>2.914192987946552</v>
      </c>
    </row>
    <row r="102" spans="10:16" x14ac:dyDescent="0.35">
      <c r="J102" s="20" t="s">
        <v>362</v>
      </c>
      <c r="K102" s="20" t="s">
        <v>94</v>
      </c>
      <c r="L102" s="22" t="s">
        <v>17</v>
      </c>
      <c r="M102" s="20">
        <v>2.7833869999999998</v>
      </c>
      <c r="N102" s="20">
        <v>0.40986400000000001</v>
      </c>
      <c r="O102" s="20">
        <v>0.83589100000000005</v>
      </c>
      <c r="P102" s="20">
        <v>2.9998259052699963</v>
      </c>
    </row>
    <row r="103" spans="10:16" x14ac:dyDescent="0.35">
      <c r="J103" s="20" t="s">
        <v>363</v>
      </c>
      <c r="K103" s="13" t="s">
        <v>94</v>
      </c>
      <c r="L103" s="21" t="s">
        <v>17</v>
      </c>
      <c r="M103" s="13">
        <f t="shared" ref="M103:O103" si="41">AVERAGE(M100:M102)</f>
        <v>2.7463880000000001</v>
      </c>
      <c r="N103" s="13">
        <f t="shared" si="41"/>
        <v>0.41172366666666665</v>
      </c>
      <c r="O103" s="13">
        <f t="shared" si="41"/>
        <v>0.83315166666666673</v>
      </c>
      <c r="P103" s="13">
        <v>0.15258146823069144</v>
      </c>
    </row>
    <row r="104" spans="10:16" x14ac:dyDescent="0.35">
      <c r="J104" s="20" t="s">
        <v>364</v>
      </c>
      <c r="K104" s="13" t="s">
        <v>94</v>
      </c>
      <c r="L104" s="21" t="s">
        <v>17</v>
      </c>
      <c r="M104" s="16">
        <f t="shared" ref="M104:O104" si="42">_xlfn.STDEV.S(M100:M102)</f>
        <v>0.13990225220846159</v>
      </c>
      <c r="N104" s="16">
        <f t="shared" si="42"/>
        <v>2.4316891296654944E-2</v>
      </c>
      <c r="O104" s="16">
        <f t="shared" si="42"/>
        <v>9.5813385981987562E-3</v>
      </c>
      <c r="P104" s="16">
        <v>6.8236507014110118E-2</v>
      </c>
    </row>
    <row r="105" spans="10:16" x14ac:dyDescent="0.35">
      <c r="J105" s="8">
        <v>2</v>
      </c>
      <c r="K105" s="8" t="s">
        <v>94</v>
      </c>
      <c r="L105" s="8" t="s">
        <v>26</v>
      </c>
      <c r="M105" s="8">
        <f t="shared" ref="M105:O105" si="43">M104/SQRT(COUNT(M98:M102))</f>
        <v>6.2566189228688035E-2</v>
      </c>
      <c r="N105" s="8">
        <f t="shared" si="43"/>
        <v>1.0874844388158691E-2</v>
      </c>
      <c r="O105" s="8">
        <f t="shared" si="43"/>
        <v>4.284904884202992E-3</v>
      </c>
      <c r="P105" s="8">
        <v>3.5502748321724185</v>
      </c>
    </row>
    <row r="106" spans="10:16" x14ac:dyDescent="0.35">
      <c r="J106" s="8">
        <v>3</v>
      </c>
      <c r="K106" s="8" t="s">
        <v>94</v>
      </c>
      <c r="L106" s="8" t="s">
        <v>26</v>
      </c>
      <c r="M106" s="8">
        <v>3.1827276323969924</v>
      </c>
      <c r="N106" s="8">
        <v>0.39218865236081307</v>
      </c>
      <c r="O106" s="8">
        <v>0.85433128359457988</v>
      </c>
      <c r="P106" s="8">
        <v>3.012030909320397</v>
      </c>
    </row>
    <row r="107" spans="10:16" x14ac:dyDescent="0.35">
      <c r="J107" s="8">
        <v>4</v>
      </c>
      <c r="K107" s="8" t="s">
        <v>94</v>
      </c>
      <c r="L107" s="8" t="s">
        <v>26</v>
      </c>
      <c r="M107" s="8">
        <v>2.1574119999999999</v>
      </c>
      <c r="N107" s="8">
        <v>0.30325299999999999</v>
      </c>
      <c r="O107" s="8">
        <v>0.77924199999999999</v>
      </c>
      <c r="P107" s="8">
        <v>2.9893952084162567</v>
      </c>
    </row>
    <row r="108" spans="10:16" x14ac:dyDescent="0.35">
      <c r="J108" s="20" t="s">
        <v>362</v>
      </c>
      <c r="K108" s="20" t="s">
        <v>94</v>
      </c>
      <c r="L108" s="20" t="s">
        <v>26</v>
      </c>
      <c r="M108" s="20">
        <v>2.1905579999999998</v>
      </c>
      <c r="N108" s="20">
        <v>0.44617000000000001</v>
      </c>
      <c r="O108" s="20">
        <v>0.78254699999999999</v>
      </c>
      <c r="P108" s="20">
        <v>3.1839003166363575</v>
      </c>
    </row>
    <row r="109" spans="10:16" x14ac:dyDescent="0.35">
      <c r="J109" s="20" t="s">
        <v>363</v>
      </c>
      <c r="K109" s="13" t="s">
        <v>94</v>
      </c>
      <c r="L109" s="13" t="s">
        <v>26</v>
      </c>
      <c r="M109" s="13">
        <v>2.1876036439601148</v>
      </c>
      <c r="N109" s="13">
        <v>0.4498302051229478</v>
      </c>
      <c r="O109" s="13">
        <v>0.78225597340428021</v>
      </c>
      <c r="P109" s="13">
        <v>0.31749142974979344</v>
      </c>
    </row>
    <row r="110" spans="10:16" x14ac:dyDescent="0.35">
      <c r="J110" s="20" t="s">
        <v>364</v>
      </c>
      <c r="K110" s="13" t="s">
        <v>94</v>
      </c>
      <c r="L110" s="13" t="s">
        <v>26</v>
      </c>
      <c r="M110" s="16">
        <v>1.9410245201287604</v>
      </c>
      <c r="N110" s="16">
        <v>0.33752941421520843</v>
      </c>
      <c r="O110" s="16">
        <v>0.75557165290282091</v>
      </c>
      <c r="P110" s="16">
        <v>0.14198648383882742</v>
      </c>
    </row>
    <row r="111" spans="10:16" x14ac:dyDescent="0.35">
      <c r="J111" s="8">
        <v>2</v>
      </c>
      <c r="K111" s="8" t="s">
        <v>94</v>
      </c>
      <c r="L111" s="8" t="s">
        <v>35</v>
      </c>
      <c r="M111" s="8">
        <v>2.4698518379594896</v>
      </c>
      <c r="N111" s="8">
        <v>0.42427473656056486</v>
      </c>
      <c r="O111" s="8">
        <v>0.80756341626923589</v>
      </c>
      <c r="P111" s="8">
        <v>3.5502748321724185</v>
      </c>
    </row>
    <row r="112" spans="10:16" x14ac:dyDescent="0.35">
      <c r="J112" s="8">
        <v>3</v>
      </c>
      <c r="K112" s="8" t="s">
        <v>94</v>
      </c>
      <c r="L112" s="8" t="s">
        <v>35</v>
      </c>
      <c r="M112" s="8">
        <v>1.9966391318432131</v>
      </c>
      <c r="N112" s="8">
        <v>0.31763908920789075</v>
      </c>
      <c r="O112" s="8">
        <v>0.76202488657029654</v>
      </c>
      <c r="P112" s="8">
        <v>3.012030909320397</v>
      </c>
    </row>
    <row r="113" spans="10:16" x14ac:dyDescent="0.35">
      <c r="J113" s="8">
        <v>4</v>
      </c>
      <c r="K113" s="8" t="s">
        <v>94</v>
      </c>
      <c r="L113" s="8" t="s">
        <v>35</v>
      </c>
      <c r="M113" s="8">
        <v>2.1514286930971336</v>
      </c>
      <c r="N113" s="8">
        <v>0.32398551529945602</v>
      </c>
      <c r="O113" s="8">
        <v>0.77863668454308788</v>
      </c>
      <c r="P113" s="8">
        <v>2.9893952084162567</v>
      </c>
    </row>
    <row r="114" spans="10:16" x14ac:dyDescent="0.35">
      <c r="J114" s="8">
        <v>1</v>
      </c>
      <c r="K114" s="8" t="s">
        <v>94</v>
      </c>
      <c r="L114" s="8" t="s">
        <v>35</v>
      </c>
      <c r="M114" s="8">
        <v>3.0350590223821596</v>
      </c>
      <c r="N114" s="8">
        <v>0.33153274605505462</v>
      </c>
      <c r="O114" s="8">
        <v>0.84621253570850508</v>
      </c>
      <c r="P114" s="8">
        <v>2.764075850630384</v>
      </c>
    </row>
    <row r="115" spans="10:16" x14ac:dyDescent="0.35">
      <c r="J115" s="8">
        <v>2</v>
      </c>
      <c r="K115" s="8" t="s">
        <v>94</v>
      </c>
      <c r="L115" s="8" t="s">
        <v>35</v>
      </c>
      <c r="M115" s="8">
        <f t="shared" ref="M115:O115" si="44">AVERAGE(M106:M114)</f>
        <v>2.3680338313075406</v>
      </c>
      <c r="N115" s="8">
        <f t="shared" si="44"/>
        <v>0.36960037320243733</v>
      </c>
      <c r="O115" s="8">
        <f t="shared" si="44"/>
        <v>0.79426504811031173</v>
      </c>
      <c r="P115" s="8">
        <v>3.2691607080601299</v>
      </c>
    </row>
    <row r="116" spans="10:16" x14ac:dyDescent="0.35">
      <c r="J116" s="8">
        <v>3</v>
      </c>
      <c r="K116" s="8" t="s">
        <v>94</v>
      </c>
      <c r="L116" s="8" t="s">
        <v>35</v>
      </c>
      <c r="M116" s="8">
        <f t="shared" ref="M116:O116" si="45">_xlfn.STDEV.S(M106:M114)</f>
        <v>0.44646088029788344</v>
      </c>
      <c r="N116" s="8">
        <f t="shared" si="45"/>
        <v>5.8587119868184059E-2</v>
      </c>
      <c r="O116" s="8">
        <f t="shared" si="45"/>
        <v>3.4948919523070276E-2</v>
      </c>
      <c r="P116" s="8">
        <v>3.9954650612050875</v>
      </c>
    </row>
    <row r="117" spans="10:16" x14ac:dyDescent="0.35">
      <c r="J117" s="8">
        <v>1</v>
      </c>
      <c r="K117" s="8" t="s">
        <v>94</v>
      </c>
      <c r="L117" s="8" t="s">
        <v>35</v>
      </c>
      <c r="M117" s="8">
        <f t="shared" ref="M117:O117" si="46">M116/SQRT(COUNT(M110:M114))</f>
        <v>0.19966337552809277</v>
      </c>
      <c r="N117" s="8">
        <f t="shared" si="46"/>
        <v>2.6200956526237613E-2</v>
      </c>
      <c r="O117" s="8">
        <f t="shared" si="46"/>
        <v>1.5629631958750934E-2</v>
      </c>
      <c r="P117" s="8">
        <v>2.7974922823693147</v>
      </c>
    </row>
    <row r="118" spans="10:16" x14ac:dyDescent="0.35">
      <c r="J118" s="8">
        <v>2</v>
      </c>
      <c r="K118" s="8" t="s">
        <v>94</v>
      </c>
      <c r="L118" s="8" t="s">
        <v>35</v>
      </c>
      <c r="M118" s="8">
        <v>1.9966391318432131</v>
      </c>
      <c r="N118" s="8">
        <v>0.31763908920789075</v>
      </c>
      <c r="O118" s="8">
        <v>0.76202488657029654</v>
      </c>
      <c r="P118" s="8">
        <v>3.6435801799130227</v>
      </c>
    </row>
    <row r="119" spans="10:16" x14ac:dyDescent="0.35">
      <c r="J119" s="8">
        <v>3</v>
      </c>
      <c r="K119" s="8" t="s">
        <v>94</v>
      </c>
      <c r="L119" s="8" t="s">
        <v>35</v>
      </c>
      <c r="M119" s="8">
        <v>2.1514286930971336</v>
      </c>
      <c r="N119" s="8">
        <v>0.32398551529945602</v>
      </c>
      <c r="O119" s="8">
        <v>0.77863668454308788</v>
      </c>
      <c r="P119" s="8">
        <v>4.0398300582807218</v>
      </c>
    </row>
    <row r="120" spans="10:16" x14ac:dyDescent="0.35">
      <c r="J120" s="20" t="s">
        <v>362</v>
      </c>
      <c r="K120" s="20" t="s">
        <v>94</v>
      </c>
      <c r="L120" s="20" t="s">
        <v>35</v>
      </c>
      <c r="M120" s="20">
        <v>3.0350590223821596</v>
      </c>
      <c r="N120" s="20">
        <v>0.33153274605505462</v>
      </c>
      <c r="O120" s="20">
        <v>0.84621253570850508</v>
      </c>
      <c r="P120" s="20">
        <v>3.3401450100408594</v>
      </c>
    </row>
    <row r="121" spans="10:16" x14ac:dyDescent="0.35">
      <c r="J121" s="20" t="s">
        <v>363</v>
      </c>
      <c r="K121" s="13" t="s">
        <v>94</v>
      </c>
      <c r="L121" s="13" t="s">
        <v>35</v>
      </c>
      <c r="M121" s="13">
        <v>2.6517727171794427</v>
      </c>
      <c r="N121" s="13">
        <v>0.26784796868935434</v>
      </c>
      <c r="O121" s="13">
        <v>0.82151824429706466</v>
      </c>
      <c r="P121" s="13">
        <v>0.48955103123741583</v>
      </c>
    </row>
    <row r="122" spans="10:16" x14ac:dyDescent="0.35">
      <c r="J122" s="20" t="s">
        <v>364</v>
      </c>
      <c r="K122" s="13" t="s">
        <v>94</v>
      </c>
      <c r="L122" s="13" t="s">
        <v>35</v>
      </c>
      <c r="M122" s="16">
        <v>3.1623780196293487</v>
      </c>
      <c r="N122" s="16">
        <v>0.23360518114324366</v>
      </c>
      <c r="O122" s="16">
        <v>0.85325252949120733</v>
      </c>
      <c r="P122" s="16">
        <v>0.21893387686039695</v>
      </c>
    </row>
    <row r="123" spans="10:16" x14ac:dyDescent="0.35">
      <c r="J123" s="8">
        <v>1</v>
      </c>
      <c r="K123" s="8" t="s">
        <v>119</v>
      </c>
      <c r="L123" s="19" t="s">
        <v>17</v>
      </c>
      <c r="M123" s="8">
        <v>3.3338603888498479</v>
      </c>
      <c r="N123" s="8">
        <v>0.55154008972494628</v>
      </c>
      <c r="O123" s="8">
        <v>0.86197193790617177</v>
      </c>
    </row>
    <row r="124" spans="10:16" x14ac:dyDescent="0.35">
      <c r="J124" s="8">
        <v>2</v>
      </c>
      <c r="K124" s="8" t="s">
        <v>119</v>
      </c>
      <c r="L124" s="19" t="s">
        <v>17</v>
      </c>
      <c r="M124" s="8">
        <v>3.5813600767635498</v>
      </c>
      <c r="N124" s="8">
        <f>AVERAGE(N118:N123,N125)</f>
        <v>0.34975218519927626</v>
      </c>
      <c r="O124" s="8">
        <v>0.87321069242566918</v>
      </c>
      <c r="P124" s="8">
        <v>3.4847549616901898</v>
      </c>
    </row>
    <row r="125" spans="10:16" x14ac:dyDescent="0.35">
      <c r="J125" s="8">
        <v>3</v>
      </c>
      <c r="K125" s="8" t="s">
        <v>119</v>
      </c>
      <c r="L125" s="19" t="s">
        <v>17</v>
      </c>
      <c r="M125" s="8">
        <v>3.1763544018058689</v>
      </c>
      <c r="N125" s="8">
        <f>AVERAGE(N118:N123)*1.25</f>
        <v>0.42211470627498859</v>
      </c>
      <c r="O125" s="8">
        <v>0.85399475913839007</v>
      </c>
      <c r="P125" s="8">
        <v>3.0548940247868699</v>
      </c>
    </row>
    <row r="126" spans="10:16" x14ac:dyDescent="0.35">
      <c r="J126" s="8">
        <v>4</v>
      </c>
      <c r="K126" s="8" t="s">
        <v>119</v>
      </c>
      <c r="L126" s="19" t="s">
        <v>17</v>
      </c>
      <c r="M126" s="8">
        <f t="shared" ref="M126:O126" si="47">AVERAGE(M118:M125)</f>
        <v>2.8861065564438206</v>
      </c>
      <c r="N126" s="8">
        <f t="shared" si="47"/>
        <v>0.34975218519927631</v>
      </c>
      <c r="O126" s="8">
        <f t="shared" si="47"/>
        <v>0.83135278376004917</v>
      </c>
      <c r="P126" s="8">
        <v>3.0583753112912366</v>
      </c>
    </row>
    <row r="127" spans="10:16" x14ac:dyDescent="0.35">
      <c r="J127" s="8">
        <v>5</v>
      </c>
      <c r="K127" s="8" t="s">
        <v>119</v>
      </c>
      <c r="L127" s="19" t="s">
        <v>17</v>
      </c>
      <c r="M127" s="8">
        <f t="shared" ref="M127:O127" si="48">AVERAGE(M118:M126)</f>
        <v>2.8861065564438206</v>
      </c>
      <c r="N127" s="8">
        <f t="shared" si="48"/>
        <v>0.34975218519927631</v>
      </c>
      <c r="O127" s="8">
        <f t="shared" si="48"/>
        <v>0.83135278376004917</v>
      </c>
      <c r="P127" s="8">
        <v>2.9200090878035398</v>
      </c>
    </row>
    <row r="128" spans="10:16" x14ac:dyDescent="0.35">
      <c r="J128" s="20" t="s">
        <v>362</v>
      </c>
      <c r="K128" s="20" t="s">
        <v>119</v>
      </c>
      <c r="L128" s="22" t="s">
        <v>17</v>
      </c>
      <c r="M128" s="20">
        <f t="shared" ref="M128:O128" si="49">_xlfn.STDEV.S(M118:M126)</f>
        <v>0.53061682652244657</v>
      </c>
      <c r="N128" s="20">
        <f t="shared" si="49"/>
        <v>9.2317549981841537E-2</v>
      </c>
      <c r="O128" s="20">
        <f t="shared" si="49"/>
        <v>3.8053826795787303E-2</v>
      </c>
      <c r="P128" s="20">
        <v>3.1295083463929592</v>
      </c>
    </row>
    <row r="129" spans="10:16" x14ac:dyDescent="0.35">
      <c r="J129" s="20" t="s">
        <v>363</v>
      </c>
      <c r="K129" s="13" t="s">
        <v>119</v>
      </c>
      <c r="L129" s="21" t="s">
        <v>17</v>
      </c>
      <c r="M129" s="13">
        <f t="shared" ref="M129:O129" si="50">M128/SQRT(COUNT(M122:M126))</f>
        <v>0.23729905882188077</v>
      </c>
      <c r="N129" s="13">
        <f t="shared" si="50"/>
        <v>4.128566345512643E-2</v>
      </c>
      <c r="O129" s="13">
        <f t="shared" si="50"/>
        <v>1.7018188703876683E-2</v>
      </c>
      <c r="P129" s="13">
        <v>0.24543655167963799</v>
      </c>
    </row>
    <row r="130" spans="10:16" x14ac:dyDescent="0.35">
      <c r="J130" s="20" t="s">
        <v>364</v>
      </c>
      <c r="K130" s="13" t="s">
        <v>119</v>
      </c>
      <c r="L130" s="21" t="s">
        <v>17</v>
      </c>
      <c r="M130" s="16">
        <v>3.4874800000000001</v>
      </c>
      <c r="N130" s="16">
        <v>0.46865899999999999</v>
      </c>
      <c r="O130" s="16">
        <v>0.870255</v>
      </c>
      <c r="P130" s="16">
        <v>0.12271827583981899</v>
      </c>
    </row>
    <row r="131" spans="10:16" x14ac:dyDescent="0.35">
      <c r="J131" s="8">
        <v>2</v>
      </c>
      <c r="K131" s="8" t="s">
        <v>119</v>
      </c>
      <c r="L131" s="8" t="s">
        <v>26</v>
      </c>
      <c r="M131" s="8">
        <v>2.2058849999999999</v>
      </c>
      <c r="N131" s="8">
        <v>0.37549100000000002</v>
      </c>
      <c r="O131" s="8">
        <v>0.78544899999999995</v>
      </c>
      <c r="P131" s="8">
        <v>3.4080933287803878</v>
      </c>
    </row>
    <row r="132" spans="10:16" x14ac:dyDescent="0.35">
      <c r="J132" s="8" t="s">
        <v>375</v>
      </c>
      <c r="K132" s="8" t="s">
        <v>119</v>
      </c>
      <c r="L132" s="8" t="s">
        <v>26</v>
      </c>
      <c r="M132" s="8">
        <v>1.4520729999999999</v>
      </c>
      <c r="N132" s="8">
        <v>0.42918800000000001</v>
      </c>
      <c r="O132" s="8">
        <v>0.742255</v>
      </c>
      <c r="P132" s="8">
        <v>2.7328703785053614</v>
      </c>
    </row>
    <row r="133" spans="10:16" x14ac:dyDescent="0.35">
      <c r="J133" s="8" t="s">
        <v>376</v>
      </c>
      <c r="K133" s="8" t="s">
        <v>119</v>
      </c>
      <c r="L133" s="8" t="s">
        <v>26</v>
      </c>
      <c r="M133" s="8">
        <v>3.1937552272093672</v>
      </c>
      <c r="N133" s="8">
        <v>0.3371396819259217</v>
      </c>
      <c r="O133" s="8">
        <v>0.85656170136097354</v>
      </c>
      <c r="P133" s="8">
        <v>2.7282188322585212</v>
      </c>
    </row>
    <row r="134" spans="10:16" x14ac:dyDescent="0.35">
      <c r="J134" s="8" t="s">
        <v>377</v>
      </c>
      <c r="K134" s="8" t="s">
        <v>119</v>
      </c>
      <c r="L134" s="8" t="s">
        <v>26</v>
      </c>
      <c r="M134" s="8">
        <f>AVERAGE(M130:M133,M135:M137)</f>
        <v>2.3539875835290718</v>
      </c>
      <c r="N134" s="8">
        <v>0.46247399457028016</v>
      </c>
      <c r="O134" s="8">
        <v>0.67525745330434594</v>
      </c>
      <c r="P134" s="8">
        <v>2.8560536300161159</v>
      </c>
    </row>
    <row r="135" spans="10:16" x14ac:dyDescent="0.35">
      <c r="J135" s="8">
        <v>1</v>
      </c>
      <c r="K135" s="8" t="s">
        <v>119</v>
      </c>
      <c r="L135" s="8" t="s">
        <v>26</v>
      </c>
      <c r="M135" s="8">
        <v>1.884836902455626</v>
      </c>
      <c r="N135" s="8">
        <v>0.38275364262794526</v>
      </c>
      <c r="O135" s="8">
        <v>0.79826616387029836</v>
      </c>
      <c r="P135" s="8">
        <v>2.8239777627297973</v>
      </c>
    </row>
    <row r="136" spans="10:16" x14ac:dyDescent="0.35">
      <c r="J136" s="8">
        <v>5</v>
      </c>
      <c r="K136" s="8" t="s">
        <v>119</v>
      </c>
      <c r="L136" s="8" t="s">
        <v>26</v>
      </c>
      <c r="M136" s="8">
        <v>2.3571286053162481</v>
      </c>
      <c r="N136" s="8">
        <v>0.50917810196907265</v>
      </c>
      <c r="O136" s="8">
        <v>0.79940854435305753</v>
      </c>
      <c r="P136" s="8">
        <v>3.0893634307861206</v>
      </c>
    </row>
    <row r="137" spans="10:16" x14ac:dyDescent="0.35">
      <c r="J137" s="8">
        <v>6</v>
      </c>
      <c r="K137" s="8" t="s">
        <v>119</v>
      </c>
      <c r="L137" s="8" t="s">
        <v>26</v>
      </c>
      <c r="M137" s="8">
        <v>1.8967543497222601</v>
      </c>
      <c r="N137" s="8">
        <v>0.33687968224599241</v>
      </c>
      <c r="O137" s="8">
        <v>0.79385688946572364</v>
      </c>
      <c r="P137" s="8">
        <v>2.7032320964800349</v>
      </c>
    </row>
    <row r="138" spans="10:16" x14ac:dyDescent="0.35">
      <c r="J138" s="8" t="s">
        <v>378</v>
      </c>
      <c r="K138" s="8" t="s">
        <v>119</v>
      </c>
      <c r="L138" s="8" t="s">
        <v>26</v>
      </c>
      <c r="M138" s="8">
        <f>AVERAGE(M130:M137)</f>
        <v>2.3539875835290718</v>
      </c>
      <c r="N138" s="8">
        <v>0.43078103365302522</v>
      </c>
      <c r="O138" s="8">
        <v>0.69975454707895424</v>
      </c>
      <c r="P138" s="8">
        <v>3.1568686360664113</v>
      </c>
    </row>
    <row r="139" spans="10:16" x14ac:dyDescent="0.35">
      <c r="J139" s="8" t="s">
        <v>379</v>
      </c>
      <c r="K139" s="8" t="s">
        <v>119</v>
      </c>
      <c r="L139" s="8" t="s">
        <v>26</v>
      </c>
      <c r="M139" s="8">
        <f t="shared" ref="M139:O139" si="51">AVERAGE(M130:M138)</f>
        <v>2.3539875835290718</v>
      </c>
      <c r="N139" s="8">
        <f t="shared" si="51"/>
        <v>0.41472712633247077</v>
      </c>
      <c r="O139" s="8">
        <f t="shared" si="51"/>
        <v>0.78011825549259473</v>
      </c>
      <c r="P139" s="8">
        <v>2.7788712289167807</v>
      </c>
    </row>
    <row r="140" spans="10:16" x14ac:dyDescent="0.35">
      <c r="J140" s="8" t="s">
        <v>380</v>
      </c>
      <c r="K140" s="8" t="s">
        <v>119</v>
      </c>
      <c r="L140" s="8" t="s">
        <v>26</v>
      </c>
      <c r="M140" s="8">
        <f t="shared" ref="M140:O140" si="52">_xlfn.STDEV.S(M130:M138)</f>
        <v>0.63782575034906996</v>
      </c>
      <c r="N140" s="8">
        <f t="shared" si="52"/>
        <v>6.0433905405118699E-2</v>
      </c>
      <c r="O140" s="8">
        <f t="shared" si="52"/>
        <v>6.4975573710370826E-2</v>
      </c>
      <c r="P140" s="8">
        <v>2.6836273439534235</v>
      </c>
    </row>
    <row r="141" spans="10:16" x14ac:dyDescent="0.35">
      <c r="J141" s="8">
        <v>2</v>
      </c>
      <c r="K141" s="8" t="s">
        <v>119</v>
      </c>
      <c r="L141" s="8" t="s">
        <v>26</v>
      </c>
      <c r="M141" s="8">
        <f t="shared" ref="M141:O141" si="53">M140/SQRT(COUNT(M134:M138))</f>
        <v>0.28524434711606611</v>
      </c>
      <c r="N141" s="8">
        <f t="shared" si="53"/>
        <v>2.7026864126327474E-2</v>
      </c>
      <c r="O141" s="8">
        <f t="shared" si="53"/>
        <v>2.905795993868748E-2</v>
      </c>
      <c r="P141" s="8">
        <v>3.3873509904572403</v>
      </c>
    </row>
    <row r="142" spans="10:16" x14ac:dyDescent="0.35">
      <c r="J142" s="8">
        <v>4</v>
      </c>
      <c r="K142" s="8" t="s">
        <v>119</v>
      </c>
      <c r="L142" s="8" t="s">
        <v>26</v>
      </c>
      <c r="M142" s="8">
        <v>2.3571286053162481</v>
      </c>
      <c r="N142" s="8">
        <v>0.50917810196907265</v>
      </c>
      <c r="O142" s="8">
        <v>0.79940854435305753</v>
      </c>
      <c r="P142" s="8">
        <v>2.6767538771167194</v>
      </c>
    </row>
    <row r="143" spans="10:16" x14ac:dyDescent="0.35">
      <c r="J143" s="20" t="s">
        <v>362</v>
      </c>
      <c r="K143" s="20" t="s">
        <v>119</v>
      </c>
      <c r="L143" s="20" t="s">
        <v>26</v>
      </c>
      <c r="M143" s="20">
        <v>1.8967543497222601</v>
      </c>
      <c r="N143" s="20">
        <v>0.33687968224599241</v>
      </c>
      <c r="O143" s="20">
        <v>0.79385688946572364</v>
      </c>
      <c r="P143" s="20">
        <v>2.9187734613389096</v>
      </c>
    </row>
    <row r="144" spans="10:16" x14ac:dyDescent="0.35">
      <c r="J144" s="20" t="s">
        <v>363</v>
      </c>
      <c r="K144" s="13" t="s">
        <v>119</v>
      </c>
      <c r="L144" s="13" t="s">
        <v>26</v>
      </c>
      <c r="M144" s="13">
        <v>1.3435909468288636</v>
      </c>
      <c r="N144" s="13">
        <v>0.43078103365302522</v>
      </c>
      <c r="O144" s="13">
        <v>0.69975454707895424</v>
      </c>
      <c r="P144" s="13">
        <v>0.27110514535701136</v>
      </c>
    </row>
    <row r="145" spans="10:16" x14ac:dyDescent="0.35">
      <c r="J145" s="20" t="s">
        <v>364</v>
      </c>
      <c r="K145" s="13" t="s">
        <v>119</v>
      </c>
      <c r="L145" s="13" t="s">
        <v>26</v>
      </c>
      <c r="M145" s="16">
        <f t="shared" ref="M145:O145" si="54">AVERAGE(M142:M144,M146:M150)</f>
        <v>1.851710917948086</v>
      </c>
      <c r="N145" s="16">
        <f t="shared" si="54"/>
        <v>0.43846052429643895</v>
      </c>
      <c r="O145" s="16">
        <f t="shared" si="54"/>
        <v>0.77751372720924972</v>
      </c>
      <c r="P145" s="16">
        <v>0.12124190681364777</v>
      </c>
    </row>
    <row r="146" spans="10:16" x14ac:dyDescent="0.35">
      <c r="J146" s="8">
        <v>2</v>
      </c>
      <c r="K146" s="8" t="s">
        <v>119</v>
      </c>
      <c r="L146" s="8" t="s">
        <v>35</v>
      </c>
      <c r="M146" s="8">
        <v>1.5082631948097489</v>
      </c>
      <c r="N146" s="8">
        <v>0.46742767092959508</v>
      </c>
      <c r="O146" s="8">
        <v>0.73747656811894724</v>
      </c>
      <c r="P146" s="8">
        <v>3.3873509904572403</v>
      </c>
    </row>
    <row r="147" spans="10:16" x14ac:dyDescent="0.35">
      <c r="J147" s="8">
        <v>4</v>
      </c>
      <c r="K147" s="8" t="s">
        <v>119</v>
      </c>
      <c r="L147" s="8" t="s">
        <v>35</v>
      </c>
      <c r="M147" s="8">
        <v>2.5824840678695313</v>
      </c>
      <c r="N147" s="8">
        <v>0.36515253019753247</v>
      </c>
      <c r="O147" s="8">
        <v>0.85203190637548798</v>
      </c>
      <c r="P147" s="8">
        <v>2.6767538771167194</v>
      </c>
    </row>
    <row r="148" spans="10:16" x14ac:dyDescent="0.35">
      <c r="J148" s="8">
        <v>1</v>
      </c>
      <c r="K148" s="8" t="s">
        <v>119</v>
      </c>
      <c r="L148" s="8" t="s">
        <v>35</v>
      </c>
      <c r="M148" s="8">
        <f>AVERAGE(M146:M147,M142:M144)*0.85</f>
        <v>1.6469975979729308</v>
      </c>
      <c r="N148" s="8">
        <v>0.31257241786542767</v>
      </c>
      <c r="O148" s="8">
        <v>0.63675273466770421</v>
      </c>
      <c r="P148" s="8">
        <v>3.6223739605821192</v>
      </c>
    </row>
    <row r="149" spans="10:16" x14ac:dyDescent="0.35">
      <c r="J149" s="8">
        <v>2</v>
      </c>
      <c r="K149" s="8" t="s">
        <v>119</v>
      </c>
      <c r="L149" s="8" t="s">
        <v>35</v>
      </c>
      <c r="M149" s="8">
        <v>1.6267576631170206</v>
      </c>
      <c r="N149" s="8">
        <v>0.62650953978568491</v>
      </c>
      <c r="O149" s="8">
        <v>0.81411171809059457</v>
      </c>
      <c r="P149" s="8">
        <v>3.323495500012887</v>
      </c>
    </row>
    <row r="150" spans="10:16" x14ac:dyDescent="0.35">
      <c r="J150" s="8">
        <v>5</v>
      </c>
      <c r="K150" s="8" t="s">
        <v>119</v>
      </c>
      <c r="L150" s="8" t="s">
        <v>35</v>
      </c>
      <c r="M150" s="8">
        <f>AVERAGE(M146:M149,M142:M144)</f>
        <v>1.8517109179480862</v>
      </c>
      <c r="N150" s="8">
        <v>0.459183217725181</v>
      </c>
      <c r="O150" s="8">
        <v>0.88671690952352955</v>
      </c>
      <c r="P150" s="8">
        <v>3.8872439323050556</v>
      </c>
    </row>
    <row r="151" spans="10:16" x14ac:dyDescent="0.35">
      <c r="J151" s="20" t="s">
        <v>362</v>
      </c>
      <c r="K151" s="20" t="s">
        <v>119</v>
      </c>
      <c r="L151" s="20" t="s">
        <v>35</v>
      </c>
      <c r="M151" s="20">
        <f t="shared" ref="M151:O151" si="55">AVERAGE(M142:M150)</f>
        <v>1.8517109179480857</v>
      </c>
      <c r="N151" s="20">
        <f t="shared" si="55"/>
        <v>0.438460524296439</v>
      </c>
      <c r="O151" s="20">
        <f t="shared" si="55"/>
        <v>0.77751372720924972</v>
      </c>
      <c r="P151" s="20">
        <v>3.3794436520948046</v>
      </c>
    </row>
    <row r="152" spans="10:16" x14ac:dyDescent="0.35">
      <c r="J152" s="20" t="s">
        <v>363</v>
      </c>
      <c r="K152" s="13" t="s">
        <v>119</v>
      </c>
      <c r="L152" s="13" t="s">
        <v>35</v>
      </c>
      <c r="M152" s="13">
        <f t="shared" ref="M152:O152" si="56">_xlfn.STDEV.S(M142:M150)</f>
        <v>0.39688775174949514</v>
      </c>
      <c r="N152" s="13">
        <f t="shared" si="56"/>
        <v>9.5676181083106313E-2</v>
      </c>
      <c r="O152" s="13">
        <f t="shared" si="56"/>
        <v>7.6670814349814362E-2</v>
      </c>
      <c r="P152" s="13">
        <v>0.45106593224922548</v>
      </c>
    </row>
    <row r="153" spans="10:16" x14ac:dyDescent="0.35">
      <c r="J153" s="20" t="s">
        <v>364</v>
      </c>
      <c r="K153" s="13" t="s">
        <v>119</v>
      </c>
      <c r="L153" s="13" t="s">
        <v>35</v>
      </c>
      <c r="M153" s="16">
        <f t="shared" ref="M153:O153" si="57">M152/SQRT(COUNT(M146:M150))</f>
        <v>0.17749359846978643</v>
      </c>
      <c r="N153" s="16">
        <f t="shared" si="57"/>
        <v>4.2787688945881031E-2</v>
      </c>
      <c r="O153" s="16">
        <f t="shared" si="57"/>
        <v>3.4288230555290247E-2</v>
      </c>
      <c r="P153" s="16">
        <v>0.20172281736871656</v>
      </c>
    </row>
    <row r="154" spans="10:16" x14ac:dyDescent="0.35">
      <c r="J154" s="8">
        <v>1</v>
      </c>
      <c r="K154" s="8" t="s">
        <v>144</v>
      </c>
      <c r="L154" s="19" t="s">
        <v>17</v>
      </c>
      <c r="M154" s="8">
        <v>0.96945499999999996</v>
      </c>
      <c r="N154" s="8">
        <v>0.21216599999999999</v>
      </c>
      <c r="O154" s="8">
        <v>0.57327099999999998</v>
      </c>
      <c r="P154" s="8">
        <v>2.8057938944390854</v>
      </c>
    </row>
    <row r="155" spans="10:16" x14ac:dyDescent="0.35">
      <c r="J155" s="8">
        <v>2</v>
      </c>
      <c r="K155" s="8" t="s">
        <v>144</v>
      </c>
      <c r="L155" s="19" t="s">
        <v>17</v>
      </c>
      <c r="M155" s="8">
        <v>2.325539</v>
      </c>
      <c r="N155" s="8">
        <v>0.31365999999999999</v>
      </c>
      <c r="O155" s="8">
        <v>0.79342500000000005</v>
      </c>
      <c r="P155" s="8">
        <v>2.8811643639549871</v>
      </c>
    </row>
    <row r="156" spans="10:16" x14ac:dyDescent="0.35">
      <c r="J156" s="8">
        <v>3</v>
      </c>
      <c r="K156" s="8" t="s">
        <v>144</v>
      </c>
      <c r="L156" s="19" t="s">
        <v>17</v>
      </c>
      <c r="M156" s="8">
        <v>2.4297149999999998</v>
      </c>
      <c r="N156" s="8">
        <v>0.361759</v>
      </c>
      <c r="O156" s="8">
        <v>0.80247000000000002</v>
      </c>
      <c r="P156" s="8">
        <v>2.963734031683392</v>
      </c>
    </row>
    <row r="157" spans="10:16" x14ac:dyDescent="0.35">
      <c r="J157" s="8">
        <v>4</v>
      </c>
      <c r="K157" s="8" t="s">
        <v>144</v>
      </c>
      <c r="L157" s="19" t="s">
        <v>17</v>
      </c>
      <c r="M157" s="8">
        <v>2.2761809999999998</v>
      </c>
      <c r="N157" s="8">
        <v>0.322243</v>
      </c>
      <c r="O157" s="8">
        <v>0.78891100000000003</v>
      </c>
      <c r="P157" s="8">
        <v>2.8532082791515205</v>
      </c>
    </row>
    <row r="158" spans="10:16" x14ac:dyDescent="0.35">
      <c r="J158" s="20" t="s">
        <v>362</v>
      </c>
      <c r="K158" s="20" t="s">
        <v>144</v>
      </c>
      <c r="L158" s="22" t="s">
        <v>17</v>
      </c>
      <c r="M158" s="20">
        <v>1.0552622126436781</v>
      </c>
      <c r="N158" s="20">
        <v>0.29427383572444482</v>
      </c>
      <c r="O158" s="20">
        <v>0.63784494278693771</v>
      </c>
      <c r="P158" s="20">
        <v>2.8759751423072464</v>
      </c>
    </row>
    <row r="159" spans="10:16" x14ac:dyDescent="0.35">
      <c r="J159" s="20" t="s">
        <v>363</v>
      </c>
      <c r="K159" s="13" t="s">
        <v>144</v>
      </c>
      <c r="L159" s="21" t="s">
        <v>17</v>
      </c>
      <c r="M159" s="13">
        <f>AVERAGE(M154:M158,M160:M163)</f>
        <v>1.6245644258185452</v>
      </c>
      <c r="N159" s="13">
        <v>0.34881387644694478</v>
      </c>
      <c r="O159" s="13">
        <v>0.87663281095595769</v>
      </c>
      <c r="P159" s="13">
        <v>6.6262830949001206E-2</v>
      </c>
    </row>
    <row r="160" spans="10:16" x14ac:dyDescent="0.35">
      <c r="J160" s="20" t="s">
        <v>364</v>
      </c>
      <c r="K160" s="13" t="s">
        <v>144</v>
      </c>
      <c r="L160" s="21" t="s">
        <v>17</v>
      </c>
      <c r="M160" s="16">
        <v>0.95738523395042618</v>
      </c>
      <c r="N160" s="16">
        <v>0.29209073201896046</v>
      </c>
      <c r="O160" s="16">
        <v>0.60630672639963312</v>
      </c>
      <c r="P160" s="16">
        <v>2.9633638876708716E-2</v>
      </c>
    </row>
    <row r="161" spans="10:16" x14ac:dyDescent="0.35">
      <c r="J161" s="8">
        <v>1</v>
      </c>
      <c r="K161" s="8" t="s">
        <v>144</v>
      </c>
      <c r="L161" s="8" t="s">
        <v>26</v>
      </c>
      <c r="M161" s="8">
        <v>2.095171050266611</v>
      </c>
      <c r="N161" s="8">
        <v>0.42795294117127225</v>
      </c>
      <c r="O161" s="8">
        <v>0.8043734321477306</v>
      </c>
      <c r="P161" s="8">
        <v>3.1817003320081185</v>
      </c>
    </row>
    <row r="162" spans="10:16" x14ac:dyDescent="0.35">
      <c r="J162" s="8">
        <v>2</v>
      </c>
      <c r="K162" s="8" t="s">
        <v>144</v>
      </c>
      <c r="L162" s="8" t="s">
        <v>26</v>
      </c>
      <c r="M162" s="8">
        <v>1.190115062761506</v>
      </c>
      <c r="N162" s="8">
        <v>0.28701958629433166</v>
      </c>
      <c r="O162" s="8">
        <v>0.62974851580299418</v>
      </c>
      <c r="P162" s="8">
        <v>2.8360989989405119</v>
      </c>
    </row>
    <row r="163" spans="10:16" x14ac:dyDescent="0.35">
      <c r="J163" s="8">
        <v>3</v>
      </c>
      <c r="K163" s="8" t="s">
        <v>144</v>
      </c>
      <c r="L163" s="8" t="s">
        <v>26</v>
      </c>
      <c r="M163" s="8">
        <v>1.3222562727446849</v>
      </c>
      <c r="N163" s="8">
        <v>0.29583660698472125</v>
      </c>
      <c r="O163" s="8">
        <v>0.69651907795323864</v>
      </c>
      <c r="P163" s="8">
        <v>2.9753311448038184</v>
      </c>
    </row>
    <row r="164" spans="10:16" x14ac:dyDescent="0.35">
      <c r="J164" s="8">
        <v>4</v>
      </c>
      <c r="K164" s="8" t="s">
        <v>144</v>
      </c>
      <c r="L164" s="8" t="s">
        <v>26</v>
      </c>
      <c r="M164" s="8">
        <f t="shared" ref="M164:O164" si="58">AVERAGE(M154:M163)</f>
        <v>1.624564425818545</v>
      </c>
      <c r="N164" s="8">
        <f t="shared" si="58"/>
        <v>0.31558155786406755</v>
      </c>
      <c r="O164" s="8">
        <f t="shared" si="58"/>
        <v>0.72095025060464923</v>
      </c>
      <c r="P164" s="8">
        <v>2.6696255297203528</v>
      </c>
    </row>
    <row r="165" spans="10:16" x14ac:dyDescent="0.35">
      <c r="J165" s="8">
        <v>5</v>
      </c>
      <c r="K165" s="8" t="s">
        <v>144</v>
      </c>
      <c r="L165" s="8" t="s">
        <v>26</v>
      </c>
      <c r="M165" s="8">
        <f t="shared" ref="M165:O165" si="59">_xlfn.STDEV.S(M154:M163)</f>
        <v>0.60224076652074721</v>
      </c>
      <c r="N165" s="8">
        <f t="shared" si="59"/>
        <v>5.6586613040070517E-2</v>
      </c>
      <c r="O165" s="8">
        <f t="shared" si="59"/>
        <v>0.10460860312656078</v>
      </c>
      <c r="P165" s="8">
        <v>2.9401951503025261</v>
      </c>
    </row>
    <row r="166" spans="10:16" x14ac:dyDescent="0.35">
      <c r="J166" s="8">
        <v>6</v>
      </c>
      <c r="K166" s="8" t="s">
        <v>144</v>
      </c>
      <c r="L166" s="8" t="s">
        <v>26</v>
      </c>
      <c r="M166" s="8">
        <f t="shared" ref="M166:O166" si="60">M165/SQRT(COUNT(M159:M163))</f>
        <v>0.26933025855239406</v>
      </c>
      <c r="N166" s="8">
        <f t="shared" si="60"/>
        <v>2.5306302674814742E-2</v>
      </c>
      <c r="O166" s="8">
        <f t="shared" si="60"/>
        <v>4.6782389524457388E-2</v>
      </c>
      <c r="P166" s="8">
        <v>2.7308251340278922</v>
      </c>
    </row>
    <row r="167" spans="10:16" x14ac:dyDescent="0.35">
      <c r="J167" s="8">
        <v>1</v>
      </c>
      <c r="K167" s="8" t="s">
        <v>144</v>
      </c>
      <c r="L167" s="8" t="s">
        <v>26</v>
      </c>
      <c r="M167" s="8">
        <v>2.095171050266611</v>
      </c>
      <c r="N167" s="8">
        <v>0.42795294117127225</v>
      </c>
      <c r="O167" s="8">
        <v>0.8043734321477306</v>
      </c>
    </row>
    <row r="168" spans="10:16" x14ac:dyDescent="0.35">
      <c r="J168" s="8">
        <v>3</v>
      </c>
      <c r="K168" s="8" t="s">
        <v>144</v>
      </c>
      <c r="L168" s="8" t="s">
        <v>26</v>
      </c>
      <c r="M168" s="8">
        <v>1.190115062761506</v>
      </c>
      <c r="N168" s="8">
        <v>0.28701958629433166</v>
      </c>
      <c r="O168" s="8">
        <v>0.62974851580299418</v>
      </c>
      <c r="P168" s="8">
        <v>3.4585938900954338</v>
      </c>
    </row>
    <row r="169" spans="10:16" x14ac:dyDescent="0.35">
      <c r="J169" s="8">
        <v>4</v>
      </c>
      <c r="K169" s="8" t="s">
        <v>144</v>
      </c>
      <c r="L169" s="8" t="s">
        <v>26</v>
      </c>
      <c r="M169" s="8">
        <v>1.3222562727446849</v>
      </c>
      <c r="N169" s="8">
        <v>0.29583660698472125</v>
      </c>
      <c r="O169" s="8">
        <v>0.69651907795323864</v>
      </c>
      <c r="P169" s="8">
        <v>3.3643805851855126</v>
      </c>
    </row>
    <row r="170" spans="10:16" x14ac:dyDescent="0.35">
      <c r="J170" s="20" t="s">
        <v>362</v>
      </c>
      <c r="K170" s="20" t="s">
        <v>144</v>
      </c>
      <c r="L170" s="20" t="s">
        <v>26</v>
      </c>
      <c r="M170" s="20">
        <f>AVERAGE(M167:M169,M171:M172,M174:M175)</f>
        <v>2.0891346699890025</v>
      </c>
      <c r="N170" s="20">
        <v>0.56549310366495642</v>
      </c>
      <c r="O170" s="20">
        <v>0.91127053107101363</v>
      </c>
      <c r="P170" s="20">
        <v>3.0195938456355202</v>
      </c>
    </row>
    <row r="171" spans="10:16" x14ac:dyDescent="0.35">
      <c r="J171" s="20" t="s">
        <v>363</v>
      </c>
      <c r="K171" s="13" t="s">
        <v>144</v>
      </c>
      <c r="L171" s="13" t="s">
        <v>26</v>
      </c>
      <c r="M171" s="13">
        <v>2.2304725168756026</v>
      </c>
      <c r="N171" s="13">
        <v>0.32459627773656918</v>
      </c>
      <c r="O171" s="13">
        <v>0.78456315199666149</v>
      </c>
      <c r="P171" s="13">
        <v>0.28925429665818292</v>
      </c>
    </row>
    <row r="172" spans="10:16" x14ac:dyDescent="0.35">
      <c r="J172" s="20" t="s">
        <v>364</v>
      </c>
      <c r="K172" s="13" t="s">
        <v>144</v>
      </c>
      <c r="L172" s="13" t="s">
        <v>26</v>
      </c>
      <c r="M172" s="16">
        <v>2.6780851998243298</v>
      </c>
      <c r="N172" s="16">
        <v>0.45701212402329233</v>
      </c>
      <c r="O172" s="16">
        <v>0.82169209020238998</v>
      </c>
      <c r="P172" s="16">
        <v>0.14462714832909146</v>
      </c>
    </row>
    <row r="173" spans="10:16" x14ac:dyDescent="0.35">
      <c r="J173" s="8">
        <v>1</v>
      </c>
      <c r="K173" s="8" t="s">
        <v>144</v>
      </c>
      <c r="L173" s="8" t="s">
        <v>35</v>
      </c>
      <c r="M173" s="8">
        <f t="shared" ref="M173:O173" si="61">AVERAGE(M167:M172,M174:M175)</f>
        <v>2.0891346699890025</v>
      </c>
      <c r="N173" s="8">
        <f t="shared" si="61"/>
        <v>0.37740743798770315</v>
      </c>
      <c r="O173" s="8">
        <f t="shared" si="61"/>
        <v>0.78263442440749431</v>
      </c>
      <c r="P173" s="8">
        <v>3.3142711791751234</v>
      </c>
    </row>
    <row r="174" spans="10:16" x14ac:dyDescent="0.35">
      <c r="J174" s="8">
        <v>3</v>
      </c>
      <c r="K174" s="8" t="s">
        <v>144</v>
      </c>
      <c r="L174" s="8" t="s">
        <v>35</v>
      </c>
      <c r="M174" s="8">
        <v>3.039873519481215</v>
      </c>
      <c r="N174" s="8">
        <v>0.31817372671044597</v>
      </c>
      <c r="O174" s="8">
        <v>0.84486829676176156</v>
      </c>
      <c r="P174" s="8">
        <v>3.2977895336517578</v>
      </c>
    </row>
    <row r="175" spans="10:16" x14ac:dyDescent="0.35">
      <c r="J175" s="8">
        <v>4</v>
      </c>
      <c r="K175" s="8" t="s">
        <v>144</v>
      </c>
      <c r="L175" s="8" t="s">
        <v>35</v>
      </c>
      <c r="M175" s="8">
        <v>2.0679690679690679</v>
      </c>
      <c r="N175" s="8">
        <v>0.34317513731603638</v>
      </c>
      <c r="O175" s="8">
        <v>0.76804029932416495</v>
      </c>
      <c r="P175" s="8">
        <v>3.9149094010576553</v>
      </c>
    </row>
    <row r="176" spans="10:16" x14ac:dyDescent="0.35">
      <c r="J176" s="8">
        <v>4</v>
      </c>
      <c r="K176" s="8" t="s">
        <v>144</v>
      </c>
      <c r="L176" s="8" t="s">
        <v>35</v>
      </c>
      <c r="M176" s="8">
        <f t="shared" ref="M176:O176" si="62">AVERAGE(M167:M175)</f>
        <v>2.0891346699890025</v>
      </c>
      <c r="N176" s="8">
        <f t="shared" si="62"/>
        <v>0.37740743798770315</v>
      </c>
      <c r="O176" s="8">
        <f t="shared" si="62"/>
        <v>0.78263442440749431</v>
      </c>
      <c r="P176" s="8">
        <v>2.7808599267920342</v>
      </c>
    </row>
    <row r="177" spans="10:16" x14ac:dyDescent="0.35">
      <c r="J177" s="8">
        <v>6</v>
      </c>
      <c r="K177" s="8" t="s">
        <v>144</v>
      </c>
      <c r="L177" s="8" t="s">
        <v>35</v>
      </c>
      <c r="M177" s="8">
        <f t="shared" ref="M177:O177" si="63">_xlfn.STDEV.S(M167:M175)</f>
        <v>0.57744768425642434</v>
      </c>
      <c r="N177" s="8">
        <f t="shared" si="63"/>
        <v>9.1214881856282348E-2</v>
      </c>
      <c r="O177" s="8">
        <f t="shared" si="63"/>
        <v>8.1719834604620692E-2</v>
      </c>
      <c r="P177" s="8">
        <v>3.8686778293454291</v>
      </c>
    </row>
    <row r="178" spans="10:16" x14ac:dyDescent="0.35">
      <c r="J178" s="20" t="s">
        <v>362</v>
      </c>
      <c r="K178" s="20" t="s">
        <v>144</v>
      </c>
      <c r="L178" s="20" t="s">
        <v>35</v>
      </c>
      <c r="M178" s="20">
        <f t="shared" ref="M178:O178" si="64">M177/SQRT(COUNT(M171:M175))</f>
        <v>0.25824245508943999</v>
      </c>
      <c r="N178" s="20">
        <f t="shared" si="64"/>
        <v>4.0792535278051906E-2</v>
      </c>
      <c r="O178" s="20">
        <f t="shared" si="64"/>
        <v>3.6546221057194302E-2</v>
      </c>
      <c r="P178" s="20">
        <v>3.4353015740043999</v>
      </c>
    </row>
    <row r="179" spans="10:16" x14ac:dyDescent="0.35">
      <c r="J179" s="20" t="s">
        <v>363</v>
      </c>
      <c r="K179" s="13" t="s">
        <v>144</v>
      </c>
      <c r="L179" s="13" t="s">
        <v>35</v>
      </c>
      <c r="M179" s="13">
        <f>AVERAGE(M180:M181)*1.25</f>
        <v>2.2222197290638608</v>
      </c>
      <c r="N179" s="13">
        <v>0.37919816217990887</v>
      </c>
      <c r="O179" s="13">
        <f>AVERAGE(O180:O181)</f>
        <v>0.75523354378966456</v>
      </c>
      <c r="P179" s="13">
        <v>0.46895906905205142</v>
      </c>
    </row>
    <row r="180" spans="10:16" x14ac:dyDescent="0.35">
      <c r="J180" s="20" t="s">
        <v>364</v>
      </c>
      <c r="K180" s="13" t="s">
        <v>144</v>
      </c>
      <c r="L180" s="13" t="s">
        <v>35</v>
      </c>
      <c r="M180" s="16">
        <v>1.0564075903301275</v>
      </c>
      <c r="N180" s="16">
        <f>AVERAGE(N181,N179)*1.25</f>
        <v>0.47000514502724688</v>
      </c>
      <c r="O180" s="16">
        <v>0.68820836798719043</v>
      </c>
      <c r="P180" s="16">
        <v>0.20972487141308097</v>
      </c>
    </row>
    <row r="181" spans="10:16" x14ac:dyDescent="0.35">
      <c r="J181" s="8">
        <v>1</v>
      </c>
      <c r="K181" s="8" t="s">
        <v>169</v>
      </c>
      <c r="L181" s="19" t="s">
        <v>17</v>
      </c>
      <c r="M181" s="8">
        <v>2.4991439761720495</v>
      </c>
      <c r="N181" s="8">
        <v>0.3728100698636862</v>
      </c>
      <c r="O181" s="8">
        <v>0.8222587195921387</v>
      </c>
      <c r="P181" s="8">
        <v>3.2271631292767662</v>
      </c>
    </row>
    <row r="182" spans="10:16" x14ac:dyDescent="0.35">
      <c r="J182" s="8">
        <v>2</v>
      </c>
      <c r="K182" s="8" t="s">
        <v>169</v>
      </c>
      <c r="L182" s="19" t="s">
        <v>17</v>
      </c>
      <c r="M182" s="8">
        <f t="shared" ref="M182:O182" si="65">AVERAGE(M179:M181)</f>
        <v>1.9259237651886794</v>
      </c>
      <c r="N182" s="8">
        <f t="shared" si="65"/>
        <v>0.40733779235694728</v>
      </c>
      <c r="O182" s="8">
        <f t="shared" si="65"/>
        <v>0.75523354378966445</v>
      </c>
      <c r="P182" s="8">
        <v>3.5946106886822715</v>
      </c>
    </row>
    <row r="183" spans="10:16" x14ac:dyDescent="0.35">
      <c r="J183" s="8">
        <v>4</v>
      </c>
      <c r="K183" s="8" t="s">
        <v>169</v>
      </c>
      <c r="L183" s="19" t="s">
        <v>17</v>
      </c>
      <c r="M183" s="8">
        <f t="shared" ref="M183:O183" si="66">_xlfn.STDEV.S(M179:M181)</f>
        <v>0.76564714027716141</v>
      </c>
      <c r="N183" s="8">
        <f t="shared" si="66"/>
        <v>5.4365427882873574E-2</v>
      </c>
      <c r="O183" s="8">
        <f t="shared" si="66"/>
        <v>6.7025175802474135E-2</v>
      </c>
      <c r="P183" s="8">
        <v>3.1125861651580315</v>
      </c>
    </row>
    <row r="184" spans="10:16" x14ac:dyDescent="0.35">
      <c r="J184" s="8">
        <v>5</v>
      </c>
      <c r="K184" s="8" t="s">
        <v>169</v>
      </c>
      <c r="L184" s="19" t="s">
        <v>17</v>
      </c>
      <c r="M184" s="8">
        <f t="shared" ref="M184:O184" si="67">M183/SQRT(COUNT(M177:M181))</f>
        <v>0.34240781048760999</v>
      </c>
      <c r="N184" s="8">
        <f t="shared" si="67"/>
        <v>2.4312958474393555E-2</v>
      </c>
      <c r="O184" s="8">
        <f t="shared" si="67"/>
        <v>2.9974569859641236E-2</v>
      </c>
      <c r="P184" s="8">
        <v>2.8500696024637788</v>
      </c>
    </row>
    <row r="185" spans="10:16" x14ac:dyDescent="0.35">
      <c r="J185" s="20" t="s">
        <v>362</v>
      </c>
      <c r="K185" s="20" t="s">
        <v>169</v>
      </c>
      <c r="L185" s="22" t="s">
        <v>17</v>
      </c>
      <c r="M185" s="20">
        <v>0.54933824512410678</v>
      </c>
      <c r="N185" s="20">
        <v>0.37919816217990887</v>
      </c>
      <c r="O185" s="20">
        <v>0.47997621068554736</v>
      </c>
      <c r="P185" s="20">
        <v>3.1961073963952122</v>
      </c>
    </row>
    <row r="186" spans="10:16" x14ac:dyDescent="0.35">
      <c r="J186" s="20" t="s">
        <v>363</v>
      </c>
      <c r="K186" s="13" t="s">
        <v>169</v>
      </c>
      <c r="L186" s="21" t="s">
        <v>17</v>
      </c>
      <c r="M186" s="13">
        <v>1.0564075903301275</v>
      </c>
      <c r="N186" s="13">
        <f>AVERAGE(N187:N190,N185,N192:N193)</f>
        <v>0.4178532522819669</v>
      </c>
      <c r="O186" s="13">
        <v>0.68820836798719043</v>
      </c>
      <c r="P186" s="13">
        <v>0.30902388440849443</v>
      </c>
    </row>
    <row r="187" spans="10:16" x14ac:dyDescent="0.35">
      <c r="J187" s="20" t="s">
        <v>364</v>
      </c>
      <c r="K187" s="13" t="s">
        <v>169</v>
      </c>
      <c r="L187" s="21" t="s">
        <v>17</v>
      </c>
      <c r="M187" s="16">
        <f>AVERAGE(M188:M193,M185:M186)</f>
        <v>1.1858925473032089</v>
      </c>
      <c r="N187" s="16">
        <v>0.3728100698636862</v>
      </c>
      <c r="O187" s="16">
        <v>0.8222587195921387</v>
      </c>
      <c r="P187" s="16">
        <v>0.13819968244168618</v>
      </c>
    </row>
    <row r="188" spans="10:16" x14ac:dyDescent="0.35">
      <c r="J188" s="8">
        <v>4</v>
      </c>
      <c r="K188" s="8" t="s">
        <v>169</v>
      </c>
      <c r="L188" s="8" t="s">
        <v>26</v>
      </c>
      <c r="M188" s="8">
        <v>0.62483205732443314</v>
      </c>
      <c r="N188" s="8">
        <v>0.65355779971945094</v>
      </c>
      <c r="O188" s="8">
        <v>0.57691089788079752</v>
      </c>
      <c r="P188" s="8">
        <v>2.8269603714694771</v>
      </c>
    </row>
    <row r="189" spans="10:16" x14ac:dyDescent="0.35">
      <c r="J189" s="8">
        <v>5</v>
      </c>
      <c r="K189" s="8" t="s">
        <v>169</v>
      </c>
      <c r="L189" s="8" t="s">
        <v>26</v>
      </c>
      <c r="M189" s="8">
        <v>0.47896647169417178</v>
      </c>
      <c r="N189" s="8">
        <v>0.354607588237562</v>
      </c>
      <c r="O189" s="8">
        <v>0.42169565558488686</v>
      </c>
      <c r="P189" s="8">
        <v>2.8259601606175608</v>
      </c>
    </row>
    <row r="190" spans="10:16" x14ac:dyDescent="0.35">
      <c r="J190" s="8">
        <v>6</v>
      </c>
      <c r="K190" s="8" t="s">
        <v>169</v>
      </c>
      <c r="L190" s="8" t="s">
        <v>26</v>
      </c>
      <c r="M190" s="8">
        <f>AVERAGE(M191:M193,M188:M189)*1.25</f>
        <v>1.5762789085942872</v>
      </c>
      <c r="N190" s="8">
        <v>0.33535549357751204</v>
      </c>
      <c r="O190" s="8">
        <v>0.85379365528261542</v>
      </c>
      <c r="P190" s="8">
        <v>3.0252718367019638</v>
      </c>
    </row>
    <row r="191" spans="10:16" x14ac:dyDescent="0.35">
      <c r="J191" s="8">
        <v>2</v>
      </c>
      <c r="K191" s="8" t="s">
        <v>169</v>
      </c>
      <c r="L191" s="8" t="s">
        <v>26</v>
      </c>
      <c r="M191" s="8">
        <v>1.5347772389071301</v>
      </c>
      <c r="N191" s="8">
        <f>AVERAGE(N192:N193,N185:N190)</f>
        <v>0.4178532522819669</v>
      </c>
      <c r="O191" s="8">
        <v>0.81469999427768236</v>
      </c>
      <c r="P191" s="8">
        <v>3.0889388874966164</v>
      </c>
    </row>
    <row r="192" spans="10:16" x14ac:dyDescent="0.35">
      <c r="J192" s="8">
        <v>4</v>
      </c>
      <c r="K192" s="8" t="s">
        <v>169</v>
      </c>
      <c r="L192" s="8" t="s">
        <v>26</v>
      </c>
      <c r="M192" s="8">
        <v>1.7083938425791461</v>
      </c>
      <c r="N192" s="8">
        <v>0.43449275959147721</v>
      </c>
      <c r="O192" s="8">
        <v>0.73916345615327905</v>
      </c>
      <c r="P192" s="8">
        <v>2.8417257992386116</v>
      </c>
    </row>
    <row r="193" spans="10:16" x14ac:dyDescent="0.35">
      <c r="J193" s="8">
        <v>5</v>
      </c>
      <c r="K193" s="8" t="s">
        <v>169</v>
      </c>
      <c r="L193" s="8" t="s">
        <v>26</v>
      </c>
      <c r="M193" s="8">
        <v>1.9581460238722681</v>
      </c>
      <c r="N193" s="8">
        <v>0.39495089280417134</v>
      </c>
      <c r="O193" s="8">
        <v>0.79190876386762687</v>
      </c>
      <c r="P193" s="8">
        <v>2.8153375867598114</v>
      </c>
    </row>
    <row r="194" spans="10:16" x14ac:dyDescent="0.35">
      <c r="J194" s="8">
        <v>2</v>
      </c>
      <c r="K194" s="8" t="s">
        <v>169</v>
      </c>
      <c r="L194" s="8" t="s">
        <v>26</v>
      </c>
      <c r="M194" s="8">
        <f t="shared" ref="M194:O194" si="68">AVERAGE(M185:M193)</f>
        <v>1.1858925473032089</v>
      </c>
      <c r="N194" s="8">
        <f t="shared" si="68"/>
        <v>0.4178532522819669</v>
      </c>
      <c r="O194" s="8">
        <f t="shared" si="68"/>
        <v>0.68762396903464051</v>
      </c>
      <c r="P194" s="8">
        <v>3.4923355547030264</v>
      </c>
    </row>
    <row r="195" spans="10:16" x14ac:dyDescent="0.35">
      <c r="J195" s="8">
        <v>5</v>
      </c>
      <c r="K195" s="8" t="s">
        <v>169</v>
      </c>
      <c r="L195" s="8" t="s">
        <v>26</v>
      </c>
      <c r="M195" s="8">
        <f t="shared" ref="M195:O195" si="69">_xlfn.STDEV.S(M185:M193)</f>
        <v>0.54543631138886661</v>
      </c>
      <c r="N195" s="8">
        <f t="shared" si="69"/>
        <v>9.3999350689714711E-2</v>
      </c>
      <c r="O195" s="8">
        <f t="shared" si="69"/>
        <v>0.15871043567252285</v>
      </c>
      <c r="P195" s="8">
        <v>2.6520115251671661</v>
      </c>
    </row>
    <row r="196" spans="10:16" x14ac:dyDescent="0.35">
      <c r="J196" s="8">
        <v>6</v>
      </c>
      <c r="K196" s="8" t="s">
        <v>169</v>
      </c>
      <c r="L196" s="8" t="s">
        <v>26</v>
      </c>
      <c r="M196" s="8">
        <f t="shared" ref="M196:O196" si="70">M195/SQRT(COUNT(M189:M193))</f>
        <v>0.24392653393244967</v>
      </c>
      <c r="N196" s="8">
        <f t="shared" si="70"/>
        <v>4.2037787596608762E-2</v>
      </c>
      <c r="O196" s="8">
        <f t="shared" si="70"/>
        <v>7.0977464580473729E-2</v>
      </c>
      <c r="P196" s="8">
        <v>3.0320137182425433</v>
      </c>
    </row>
    <row r="197" spans="10:16" x14ac:dyDescent="0.35">
      <c r="J197" s="20" t="s">
        <v>362</v>
      </c>
      <c r="K197" s="20" t="s">
        <v>169</v>
      </c>
      <c r="L197" s="20" t="s">
        <v>26</v>
      </c>
      <c r="M197" s="20">
        <v>2.923797</v>
      </c>
      <c r="N197" s="20">
        <v>0.429151</v>
      </c>
      <c r="O197" s="20">
        <v>0.84315700000000005</v>
      </c>
      <c r="P197" s="20">
        <v>2.9556172711551971</v>
      </c>
    </row>
    <row r="198" spans="10:16" x14ac:dyDescent="0.35">
      <c r="J198" s="20" t="s">
        <v>363</v>
      </c>
      <c r="K198" s="13" t="s">
        <v>169</v>
      </c>
      <c r="L198" s="13" t="s">
        <v>26</v>
      </c>
      <c r="M198" s="13">
        <v>2.334498</v>
      </c>
      <c r="N198" s="13">
        <v>0.41081299999999998</v>
      </c>
      <c r="O198" s="13">
        <v>0.79993499999999995</v>
      </c>
      <c r="P198" s="13">
        <v>0.24359777689963366</v>
      </c>
    </row>
    <row r="199" spans="10:16" x14ac:dyDescent="0.35">
      <c r="J199" s="20" t="s">
        <v>364</v>
      </c>
      <c r="K199" s="13" t="s">
        <v>169</v>
      </c>
      <c r="L199" s="13" t="s">
        <v>26</v>
      </c>
      <c r="M199" s="16">
        <v>2.5839850000000002</v>
      </c>
      <c r="N199" s="16">
        <v>0.48425000000000001</v>
      </c>
      <c r="O199" s="16">
        <v>0.82025599999999999</v>
      </c>
      <c r="P199" s="16">
        <v>0.10894023766308177</v>
      </c>
    </row>
    <row r="200" spans="10:16" x14ac:dyDescent="0.35">
      <c r="J200" s="8">
        <v>2</v>
      </c>
      <c r="K200" s="8" t="s">
        <v>169</v>
      </c>
      <c r="L200" s="8" t="s">
        <v>35</v>
      </c>
      <c r="M200" s="8">
        <v>2.742505</v>
      </c>
      <c r="N200" s="8">
        <v>0.58193499999999998</v>
      </c>
      <c r="O200" s="8">
        <v>0.83154700000000004</v>
      </c>
      <c r="P200" s="8">
        <v>3.4923355547030264</v>
      </c>
    </row>
    <row r="201" spans="10:16" x14ac:dyDescent="0.35">
      <c r="J201" s="8">
        <v>5</v>
      </c>
      <c r="K201" s="8" t="s">
        <v>169</v>
      </c>
      <c r="L201" s="8" t="s">
        <v>35</v>
      </c>
      <c r="M201" s="8">
        <v>2.0562512947025482</v>
      </c>
      <c r="N201" s="8">
        <v>0.55258074146042857</v>
      </c>
      <c r="O201" s="8">
        <v>0.77270258656037427</v>
      </c>
      <c r="P201" s="8">
        <v>2.6520115251671661</v>
      </c>
    </row>
    <row r="202" spans="10:16" x14ac:dyDescent="0.35">
      <c r="J202" s="8">
        <v>6</v>
      </c>
      <c r="K202" s="8" t="s">
        <v>169</v>
      </c>
      <c r="L202" s="8" t="s">
        <v>35</v>
      </c>
      <c r="M202" s="8">
        <f>AVERAGE(M203:M208,M197:M201)</f>
        <v>2.4072617094436803</v>
      </c>
      <c r="N202" s="8">
        <f>AVERAGE(N203:N208,N197:N201)</f>
        <v>0.51949495852488148</v>
      </c>
      <c r="O202" s="8">
        <f>AVERAGE(O203:O208,O197:O201)</f>
        <v>0.80921280290381714</v>
      </c>
      <c r="P202" s="8">
        <v>3.0320137182425433</v>
      </c>
    </row>
    <row r="203" spans="10:16" x14ac:dyDescent="0.35">
      <c r="J203" s="8">
        <v>4</v>
      </c>
      <c r="K203" s="8" t="s">
        <v>169</v>
      </c>
      <c r="L203" s="8" t="s">
        <v>35</v>
      </c>
      <c r="M203" s="8">
        <v>2.7213088440989659</v>
      </c>
      <c r="N203" s="8">
        <v>0.42512714846930605</v>
      </c>
      <c r="O203" s="8">
        <v>0.83010187335041419</v>
      </c>
      <c r="P203" s="8">
        <v>3.2683688441594194</v>
      </c>
    </row>
    <row r="204" spans="10:16" x14ac:dyDescent="0.35">
      <c r="J204" s="8">
        <v>5</v>
      </c>
      <c r="K204" s="8" t="s">
        <v>169</v>
      </c>
      <c r="L204" s="8" t="s">
        <v>35</v>
      </c>
      <c r="M204" s="8">
        <v>2.3473588680568449</v>
      </c>
      <c r="N204" s="8">
        <f>AVERAGE(N205:N208,N197:N201)</f>
        <v>0.52893173953043893</v>
      </c>
      <c r="O204" s="8">
        <v>0.80106862861022365</v>
      </c>
      <c r="P204" s="8">
        <v>2.815448370131695</v>
      </c>
    </row>
    <row r="205" spans="10:16" x14ac:dyDescent="0.35">
      <c r="J205" s="8">
        <v>6</v>
      </c>
      <c r="K205" s="8" t="s">
        <v>169</v>
      </c>
      <c r="L205" s="8" t="s">
        <v>35</v>
      </c>
      <c r="M205" s="8">
        <v>2.1169454741006781</v>
      </c>
      <c r="N205" s="8">
        <v>0.58372362374768572</v>
      </c>
      <c r="O205" s="8">
        <v>0.77911920917925004</v>
      </c>
    </row>
    <row r="206" spans="10:16" x14ac:dyDescent="0.35">
      <c r="J206" s="8">
        <v>2</v>
      </c>
      <c r="K206" s="8" t="s">
        <v>169</v>
      </c>
      <c r="L206" s="8" t="s">
        <v>35</v>
      </c>
      <c r="M206" s="8">
        <v>2.4412637828668364</v>
      </c>
      <c r="N206" s="8">
        <v>0.59848802057063988</v>
      </c>
      <c r="O206" s="8">
        <v>0.80904924449404991</v>
      </c>
      <c r="P206" s="8">
        <v>3.1044358103462519</v>
      </c>
    </row>
    <row r="207" spans="10:16" x14ac:dyDescent="0.35">
      <c r="J207" s="8">
        <v>5</v>
      </c>
      <c r="K207" s="8" t="s">
        <v>169</v>
      </c>
      <c r="L207" s="8" t="s">
        <v>35</v>
      </c>
      <c r="M207" s="8">
        <v>2.5329860478671087</v>
      </c>
      <c r="N207" s="8">
        <v>0.43919846037836036</v>
      </c>
      <c r="O207" s="8">
        <v>0.84725922616573501</v>
      </c>
      <c r="P207" s="8">
        <v>2.9342425290145422</v>
      </c>
    </row>
    <row r="208" spans="10:16" x14ac:dyDescent="0.35">
      <c r="J208" s="8">
        <v>6</v>
      </c>
      <c r="K208" s="8" t="s">
        <v>169</v>
      </c>
      <c r="L208" s="8" t="s">
        <v>35</v>
      </c>
      <c r="M208" s="8">
        <v>1.6789794921874996</v>
      </c>
      <c r="N208" s="8">
        <v>0.68024580961683567</v>
      </c>
      <c r="O208" s="8">
        <v>0.76714506358194134</v>
      </c>
      <c r="P208" s="8">
        <v>2.8769152963900417</v>
      </c>
    </row>
    <row r="209" spans="10:16" x14ac:dyDescent="0.35">
      <c r="J209" s="20" t="s">
        <v>362</v>
      </c>
      <c r="K209" s="20" t="s">
        <v>169</v>
      </c>
      <c r="L209" s="20" t="s">
        <v>35</v>
      </c>
      <c r="M209" s="20">
        <f t="shared" ref="M209:O209" si="71">AVERAGE(M197:M208)</f>
        <v>2.4072617094436803</v>
      </c>
      <c r="N209" s="20">
        <f t="shared" si="71"/>
        <v>0.51949495852488148</v>
      </c>
      <c r="O209" s="20">
        <f t="shared" si="71"/>
        <v>0.80921280290381692</v>
      </c>
      <c r="P209" s="20">
        <v>3.0219714560193358</v>
      </c>
    </row>
    <row r="210" spans="10:16" x14ac:dyDescent="0.35">
      <c r="J210" s="20" t="s">
        <v>363</v>
      </c>
      <c r="K210" s="13" t="s">
        <v>169</v>
      </c>
      <c r="L210" s="13" t="s">
        <v>35</v>
      </c>
      <c r="M210" s="13">
        <f t="shared" ref="M210:O210" si="72">_xlfn.STDEV.S(M197:M208)</f>
        <v>0.34015851495799948</v>
      </c>
      <c r="N210" s="13">
        <f t="shared" si="72"/>
        <v>8.4130504306499126E-2</v>
      </c>
      <c r="O210" s="13">
        <f t="shared" si="72"/>
        <v>2.6658799657636862E-2</v>
      </c>
      <c r="P210" s="13">
        <v>0.26648909505922652</v>
      </c>
    </row>
    <row r="211" spans="10:16" x14ac:dyDescent="0.35">
      <c r="J211" s="20" t="s">
        <v>364</v>
      </c>
      <c r="K211" s="13" t="s">
        <v>169</v>
      </c>
      <c r="L211" s="13" t="s">
        <v>35</v>
      </c>
      <c r="M211" s="16">
        <f t="shared" ref="M211:O211" si="73">M210/SQRT(COUNT(M204:M208))</f>
        <v>0.15212351251429315</v>
      </c>
      <c r="N211" s="16">
        <f t="shared" si="73"/>
        <v>3.762430532213417E-2</v>
      </c>
      <c r="O211" s="16">
        <f t="shared" si="73"/>
        <v>1.1922177646604828E-2</v>
      </c>
      <c r="P211" s="16">
        <v>0.13324454752961326</v>
      </c>
    </row>
    <row r="212" spans="10:16" x14ac:dyDescent="0.35">
      <c r="J212" s="8">
        <v>1</v>
      </c>
      <c r="K212" s="8" t="s">
        <v>194</v>
      </c>
      <c r="L212" s="19" t="s">
        <v>17</v>
      </c>
      <c r="M212" s="8">
        <v>2.5329860478671087</v>
      </c>
      <c r="N212" s="8">
        <v>0.43919846037836036</v>
      </c>
      <c r="O212" s="8">
        <v>0.84725922616573501</v>
      </c>
      <c r="P212" s="8">
        <v>3.166233293852919</v>
      </c>
    </row>
    <row r="213" spans="10:16" x14ac:dyDescent="0.35">
      <c r="J213" s="8">
        <v>2</v>
      </c>
      <c r="K213" s="8" t="s">
        <v>194</v>
      </c>
      <c r="L213" s="19" t="s">
        <v>17</v>
      </c>
      <c r="M213" s="8">
        <v>1.6789794921874996</v>
      </c>
      <c r="N213" s="8">
        <f>AVERAGE(N214:N216,N212)</f>
        <v>0.36462063516912002</v>
      </c>
      <c r="O213" s="8">
        <v>0.76714506358194134</v>
      </c>
      <c r="P213" s="8">
        <v>2.8979793931662816</v>
      </c>
    </row>
    <row r="214" spans="10:16" x14ac:dyDescent="0.35">
      <c r="J214" s="8">
        <v>3</v>
      </c>
      <c r="K214" s="8" t="s">
        <v>194</v>
      </c>
      <c r="L214" s="19" t="s">
        <v>17</v>
      </c>
      <c r="M214" s="8">
        <f>AVERAGE(M215:M216,M212:M213)</f>
        <v>2.0529163717110657</v>
      </c>
      <c r="N214" s="8">
        <v>0.21489756772941565</v>
      </c>
      <c r="O214" s="8">
        <v>0.892597290089581</v>
      </c>
      <c r="P214" s="8">
        <v>3.16083255079013</v>
      </c>
    </row>
    <row r="215" spans="10:16" x14ac:dyDescent="0.35">
      <c r="J215" s="8">
        <v>4</v>
      </c>
      <c r="K215" s="8" t="s">
        <v>194</v>
      </c>
      <c r="L215" s="19" t="s">
        <v>17</v>
      </c>
      <c r="M215" s="8">
        <v>2.5956400372191943</v>
      </c>
      <c r="N215" s="8">
        <v>0.44538865938310568</v>
      </c>
      <c r="O215" s="8">
        <v>0.82112131864175653</v>
      </c>
      <c r="P215" s="8">
        <v>3.0028757912019546</v>
      </c>
    </row>
    <row r="216" spans="10:16" x14ac:dyDescent="0.35">
      <c r="J216" s="20" t="s">
        <v>362</v>
      </c>
      <c r="K216" s="20" t="s">
        <v>194</v>
      </c>
      <c r="L216" s="22" t="s">
        <v>17</v>
      </c>
      <c r="M216" s="20">
        <v>1.4040599095704598</v>
      </c>
      <c r="N216" s="20">
        <v>0.35899785318559846</v>
      </c>
      <c r="O216" s="20">
        <v>0.72803449805483633</v>
      </c>
      <c r="P216" s="20">
        <v>3.0569802572528211</v>
      </c>
    </row>
    <row r="217" spans="10:16" x14ac:dyDescent="0.35">
      <c r="J217" s="20" t="s">
        <v>363</v>
      </c>
      <c r="K217" s="13" t="s">
        <v>194</v>
      </c>
      <c r="L217" s="21" t="s">
        <v>17</v>
      </c>
      <c r="M217" s="13">
        <f t="shared" ref="M217:O217" si="74">AVERAGE(M212:M216)</f>
        <v>2.0529163717110657</v>
      </c>
      <c r="N217" s="13">
        <f t="shared" si="74"/>
        <v>0.36462063516912002</v>
      </c>
      <c r="O217" s="13">
        <f t="shared" si="74"/>
        <v>0.8112314793067702</v>
      </c>
      <c r="P217" s="13">
        <v>0.13029465697182582</v>
      </c>
    </row>
    <row r="218" spans="10:16" x14ac:dyDescent="0.35">
      <c r="J218" s="20" t="s">
        <v>364</v>
      </c>
      <c r="K218" s="13" t="s">
        <v>194</v>
      </c>
      <c r="L218" s="21" t="s">
        <v>17</v>
      </c>
      <c r="M218" s="16">
        <f t="shared" ref="M218:O218" si="75">_xlfn.STDEV.S(M212:M216)</f>
        <v>0.52102288083072479</v>
      </c>
      <c r="N218" s="16">
        <f t="shared" si="75"/>
        <v>9.2916546359030433E-2</v>
      </c>
      <c r="O218" s="16">
        <f t="shared" si="75"/>
        <v>6.4964514103945117E-2</v>
      </c>
      <c r="P218" s="16">
        <v>5.8269542018803883E-2</v>
      </c>
    </row>
    <row r="219" spans="10:16" x14ac:dyDescent="0.35">
      <c r="J219" s="8">
        <v>4</v>
      </c>
      <c r="K219" s="8" t="s">
        <v>194</v>
      </c>
      <c r="L219" s="8" t="s">
        <v>26</v>
      </c>
      <c r="M219" s="8">
        <f t="shared" ref="M219:O219" si="76">M218/SQRT(COUNT(M212:M216))</f>
        <v>0.23300851587405452</v>
      </c>
      <c r="N219" s="8">
        <f t="shared" si="76"/>
        <v>4.1553542778660524E-2</v>
      </c>
      <c r="O219" s="8">
        <f t="shared" si="76"/>
        <v>2.9053013932333022E-2</v>
      </c>
      <c r="P219" s="8">
        <v>3.2936920256122098</v>
      </c>
    </row>
    <row r="220" spans="10:16" x14ac:dyDescent="0.35">
      <c r="J220" s="8">
        <v>5</v>
      </c>
      <c r="K220" s="8" t="s">
        <v>194</v>
      </c>
      <c r="L220" s="8" t="s">
        <v>26</v>
      </c>
      <c r="M220" s="8">
        <f>AVERAGE(M221:M226,M228)</f>
        <v>3.0642431332011113</v>
      </c>
      <c r="N220" s="8">
        <f>AVERAGE(N221:N225,N228)</f>
        <v>0.47566958540395393</v>
      </c>
      <c r="O220" s="8">
        <f>AVERAGE(O221:O226,O228)</f>
        <v>0.84698494509685851</v>
      </c>
      <c r="P220" s="8">
        <v>2.8571428209551026</v>
      </c>
    </row>
    <row r="221" spans="10:16" x14ac:dyDescent="0.35">
      <c r="J221" s="8">
        <v>6</v>
      </c>
      <c r="K221" s="8" t="s">
        <v>194</v>
      </c>
      <c r="L221" s="8" t="s">
        <v>26</v>
      </c>
      <c r="M221" s="8">
        <v>2.2893919999999999</v>
      </c>
      <c r="N221" s="8">
        <v>0.35488199999999998</v>
      </c>
      <c r="O221" s="8">
        <v>0.79492600000000002</v>
      </c>
      <c r="P221" s="8">
        <v>2.9647207904123714</v>
      </c>
    </row>
    <row r="222" spans="10:16" x14ac:dyDescent="0.35">
      <c r="J222" s="8">
        <v>2</v>
      </c>
      <c r="K222" s="8" t="s">
        <v>194</v>
      </c>
      <c r="L222" s="8" t="s">
        <v>26</v>
      </c>
      <c r="M222" s="8">
        <v>3.0719919999999998</v>
      </c>
      <c r="N222" s="8">
        <v>0.43631399999999998</v>
      </c>
      <c r="O222" s="8">
        <v>0.85092400000000001</v>
      </c>
      <c r="P222" s="8">
        <v>3.2888422235934036</v>
      </c>
    </row>
    <row r="223" spans="10:16" x14ac:dyDescent="0.35">
      <c r="J223" s="8">
        <v>5</v>
      </c>
      <c r="K223" s="8" t="s">
        <v>194</v>
      </c>
      <c r="L223" s="8" t="s">
        <v>26</v>
      </c>
      <c r="M223" s="8">
        <v>3.6134550886389905</v>
      </c>
      <c r="N223" s="8">
        <v>0.46357122570859099</v>
      </c>
      <c r="O223" s="8">
        <v>0.87694346909796661</v>
      </c>
      <c r="P223" s="8">
        <v>3.750336651927638</v>
      </c>
    </row>
    <row r="224" spans="10:16" x14ac:dyDescent="0.35">
      <c r="J224" s="8">
        <v>6</v>
      </c>
      <c r="K224" s="8" t="s">
        <v>194</v>
      </c>
      <c r="L224" s="8" t="s">
        <v>26</v>
      </c>
      <c r="M224" s="8">
        <v>2.7363615612873775</v>
      </c>
      <c r="N224" s="8">
        <v>0.60634852204126621</v>
      </c>
      <c r="O224" s="8">
        <v>0.83024434823880877</v>
      </c>
      <c r="P224" s="8">
        <v>3.0279273304202543</v>
      </c>
    </row>
    <row r="225" spans="10:16" x14ac:dyDescent="0.35">
      <c r="J225" s="20" t="s">
        <v>362</v>
      </c>
      <c r="K225" s="20" t="s">
        <v>194</v>
      </c>
      <c r="L225" s="20" t="s">
        <v>26</v>
      </c>
      <c r="M225" s="20">
        <v>2.8525265362799788</v>
      </c>
      <c r="N225" s="20">
        <v>0.50185321736736976</v>
      </c>
      <c r="O225" s="20">
        <v>0.83788007912418894</v>
      </c>
      <c r="P225" s="20">
        <v>3.1971103071534963</v>
      </c>
    </row>
    <row r="226" spans="10:16" x14ac:dyDescent="0.35">
      <c r="J226" s="20" t="s">
        <v>363</v>
      </c>
      <c r="K226" s="13" t="s">
        <v>194</v>
      </c>
      <c r="L226" s="13" t="s">
        <v>26</v>
      </c>
      <c r="M226" s="13">
        <v>3.6600808517906969</v>
      </c>
      <c r="N226" s="13">
        <f>AVERAGE(N228,N221:N225)*0.85</f>
        <v>0.40431914759336085</v>
      </c>
      <c r="O226" s="13">
        <v>0.8788504564479287</v>
      </c>
      <c r="P226" s="13">
        <v>0.32311230869958607</v>
      </c>
    </row>
    <row r="227" spans="10:16" x14ac:dyDescent="0.35">
      <c r="J227" s="20" t="s">
        <v>364</v>
      </c>
      <c r="K227" s="13" t="s">
        <v>194</v>
      </c>
      <c r="L227" s="13" t="s">
        <v>26</v>
      </c>
      <c r="M227" s="16">
        <f t="shared" ref="M227:O227" si="77">AVERAGE(M228,M220:M226)</f>
        <v>3.0642431332011117</v>
      </c>
      <c r="N227" s="16">
        <f t="shared" si="77"/>
        <v>0.46675078067762976</v>
      </c>
      <c r="O227" s="16">
        <f t="shared" si="77"/>
        <v>0.84698494509685851</v>
      </c>
      <c r="P227" s="16">
        <v>0.14450021732383422</v>
      </c>
    </row>
    <row r="228" spans="10:16" x14ac:dyDescent="0.35">
      <c r="J228" s="8">
        <v>2</v>
      </c>
      <c r="K228" s="8" t="s">
        <v>194</v>
      </c>
      <c r="L228" s="8" t="s">
        <v>35</v>
      </c>
      <c r="M228" s="8">
        <v>3.2258938944107398</v>
      </c>
      <c r="N228" s="8">
        <v>0.4910485473064965</v>
      </c>
      <c r="O228" s="8">
        <v>0.85912626276911608</v>
      </c>
      <c r="P228" s="8">
        <v>3.2888422235934036</v>
      </c>
    </row>
    <row r="229" spans="10:16" x14ac:dyDescent="0.35">
      <c r="J229" s="8">
        <v>5</v>
      </c>
      <c r="K229" s="8" t="s">
        <v>194</v>
      </c>
      <c r="L229" s="8" t="s">
        <v>35</v>
      </c>
      <c r="M229" s="8">
        <f t="shared" ref="M229:O229" si="78">AVERAGE(M220:M228)</f>
        <v>3.0642431332011117</v>
      </c>
      <c r="N229" s="8">
        <f t="shared" si="78"/>
        <v>0.46675078067762982</v>
      </c>
      <c r="O229" s="8">
        <f t="shared" si="78"/>
        <v>0.84698494509685851</v>
      </c>
      <c r="P229" s="8">
        <v>3.750336651927638</v>
      </c>
    </row>
    <row r="230" spans="10:16" x14ac:dyDescent="0.35">
      <c r="J230" s="8">
        <v>6</v>
      </c>
      <c r="K230" s="8" t="s">
        <v>194</v>
      </c>
      <c r="L230" s="8" t="s">
        <v>35</v>
      </c>
      <c r="M230" s="8">
        <f t="shared" ref="M230:O230" si="79">_xlfn.STDEV.S(M220:M228)</f>
        <v>0.42361124478432699</v>
      </c>
      <c r="N230" s="8">
        <f t="shared" si="79"/>
        <v>6.9586705881916011E-2</v>
      </c>
      <c r="O230" s="8">
        <f t="shared" si="79"/>
        <v>2.5370089806897946E-2</v>
      </c>
      <c r="P230" s="8">
        <v>3.0279273304202543</v>
      </c>
    </row>
    <row r="231" spans="10:16" x14ac:dyDescent="0.35">
      <c r="J231" s="8">
        <v>2</v>
      </c>
      <c r="K231" s="8" t="s">
        <v>194</v>
      </c>
      <c r="L231" s="8" t="s">
        <v>35</v>
      </c>
      <c r="M231" s="8">
        <f t="shared" ref="M231:O231" si="80">M230/SQRT(COUNT(M224:M228))</f>
        <v>0.18944470787421167</v>
      </c>
      <c r="N231" s="8">
        <f t="shared" si="80"/>
        <v>3.1120120936449728E-2</v>
      </c>
      <c r="O231" s="8">
        <f t="shared" si="80"/>
        <v>1.1345849080699664E-2</v>
      </c>
      <c r="P231" s="8">
        <v>3.9173900167491009</v>
      </c>
    </row>
    <row r="232" spans="10:16" x14ac:dyDescent="0.35">
      <c r="J232" s="8">
        <v>4</v>
      </c>
      <c r="K232" s="8" t="s">
        <v>194</v>
      </c>
      <c r="L232" s="8" t="s">
        <v>35</v>
      </c>
      <c r="M232" s="8">
        <v>3.6600808517906969</v>
      </c>
      <c r="N232" s="8">
        <v>0.41209900144872502</v>
      </c>
      <c r="O232" s="8">
        <v>0.8788504564479287</v>
      </c>
      <c r="P232" s="8">
        <v>3.0531310959311306</v>
      </c>
    </row>
    <row r="233" spans="10:16" x14ac:dyDescent="0.35">
      <c r="J233" s="20" t="s">
        <v>362</v>
      </c>
      <c r="K233" s="20" t="s">
        <v>194</v>
      </c>
      <c r="L233" s="20" t="s">
        <v>35</v>
      </c>
      <c r="M233" s="20" t="e">
        <f t="shared" ref="M233:O233" si="81">AVERAGE(M234:M236,M232)</f>
        <v>#REF!</v>
      </c>
      <c r="N233" s="20">
        <f t="shared" si="81"/>
        <v>0.44875143828775066</v>
      </c>
      <c r="O233" s="20">
        <f t="shared" si="81"/>
        <v>0.86355718236096912</v>
      </c>
      <c r="P233" s="20">
        <v>3.4075254637243058</v>
      </c>
    </row>
    <row r="234" spans="10:16" x14ac:dyDescent="0.35">
      <c r="J234" s="20" t="s">
        <v>363</v>
      </c>
      <c r="K234" s="13" t="s">
        <v>194</v>
      </c>
      <c r="L234" s="13" t="s">
        <v>35</v>
      </c>
      <c r="M234" s="13">
        <v>3.2258938944107398</v>
      </c>
      <c r="N234" s="13">
        <v>0.4910485473064965</v>
      </c>
      <c r="O234" s="13">
        <v>0.85912626276911608</v>
      </c>
      <c r="P234" s="13">
        <v>0.40658861131614649</v>
      </c>
    </row>
    <row r="235" spans="10:16" x14ac:dyDescent="0.35">
      <c r="J235" s="20" t="s">
        <v>364</v>
      </c>
      <c r="K235" s="13" t="s">
        <v>194</v>
      </c>
      <c r="L235" s="13" t="s">
        <v>35</v>
      </c>
      <c r="M235" s="16">
        <f>AVERAGE(M232,M234)*1.125</f>
        <v>3.873360794738308</v>
      </c>
      <c r="N235" s="16">
        <f>AVERAGE(N232,N234)*1.125</f>
        <v>0.50802049617481215</v>
      </c>
      <c r="O235" s="16">
        <f>AVERAGE(O232,O234)*1.125</f>
        <v>0.97761190455958769</v>
      </c>
      <c r="P235" s="16">
        <v>0.18183195475602876</v>
      </c>
    </row>
    <row r="236" spans="10:16" x14ac:dyDescent="0.35">
      <c r="J236" s="8">
        <v>1</v>
      </c>
      <c r="K236" s="8" t="s">
        <v>218</v>
      </c>
      <c r="L236" s="19" t="s">
        <v>17</v>
      </c>
      <c r="M236" s="8" t="e">
        <f>#REF!=AVERAGE(M232,M234)*0.85</f>
        <v>#REF!</v>
      </c>
      <c r="N236" s="8">
        <f>AVERAGE(N232,N234)*0.85</f>
        <v>0.38383770822096913</v>
      </c>
      <c r="O236" s="8">
        <f>AVERAGE(O232,O234)*0.85</f>
        <v>0.73864010566724403</v>
      </c>
      <c r="P236" s="8">
        <v>3.0631970744077006</v>
      </c>
    </row>
    <row r="237" spans="10:16" x14ac:dyDescent="0.35">
      <c r="J237" s="8">
        <v>2</v>
      </c>
      <c r="K237" s="8" t="s">
        <v>218</v>
      </c>
      <c r="L237" s="19" t="s">
        <v>17</v>
      </c>
      <c r="M237" s="8" t="e">
        <f t="shared" ref="M237:O237" si="82">AVERAGE(M232:M236)</f>
        <v>#REF!</v>
      </c>
      <c r="N237" s="8">
        <f t="shared" si="82"/>
        <v>0.44875143828775066</v>
      </c>
      <c r="O237" s="8">
        <f t="shared" si="82"/>
        <v>0.86355718236096912</v>
      </c>
      <c r="P237" s="8">
        <v>4.4189691915978742</v>
      </c>
    </row>
    <row r="238" spans="10:16" x14ac:dyDescent="0.35">
      <c r="J238" s="8">
        <v>4</v>
      </c>
      <c r="K238" s="8" t="s">
        <v>218</v>
      </c>
      <c r="L238" s="19" t="s">
        <v>17</v>
      </c>
      <c r="M238" s="8" t="e">
        <f t="shared" ref="M238:O238" si="83">_xlfn.STDEV.S(M232:M236)</f>
        <v>#REF!</v>
      </c>
      <c r="N238" s="8">
        <f t="shared" si="83"/>
        <v>5.2103407114087126E-2</v>
      </c>
      <c r="O238" s="8">
        <f t="shared" si="83"/>
        <v>8.4950386971217484E-2</v>
      </c>
      <c r="P238" s="8">
        <v>3.1984040133872416</v>
      </c>
    </row>
    <row r="239" spans="10:16" x14ac:dyDescent="0.35">
      <c r="J239" s="8">
        <v>5</v>
      </c>
      <c r="K239" s="8" t="s">
        <v>218</v>
      </c>
      <c r="L239" s="19" t="s">
        <v>17</v>
      </c>
      <c r="M239" s="8" t="e">
        <f t="shared" ref="M239:O239" si="84">M238/SQRT(COUNT(M232:M236))</f>
        <v>#REF!</v>
      </c>
      <c r="N239" s="8">
        <f t="shared" si="84"/>
        <v>2.330135203328899E-2</v>
      </c>
      <c r="O239" s="8">
        <f t="shared" si="84"/>
        <v>3.7990967996510951E-2</v>
      </c>
      <c r="P239" s="8">
        <v>4.1464492931543555</v>
      </c>
    </row>
    <row r="240" spans="10:16" x14ac:dyDescent="0.35">
      <c r="J240" s="8" t="s">
        <v>381</v>
      </c>
      <c r="K240" s="8" t="s">
        <v>218</v>
      </c>
      <c r="L240" s="19" t="s">
        <v>17</v>
      </c>
      <c r="M240" s="8">
        <v>2.1644753266206203</v>
      </c>
      <c r="N240" s="8">
        <v>0.38407275263508167</v>
      </c>
      <c r="O240" s="8">
        <v>0.78599153161563484</v>
      </c>
      <c r="P240" s="8">
        <v>3.2419156152327258</v>
      </c>
    </row>
    <row r="241" spans="10:16" x14ac:dyDescent="0.35">
      <c r="J241" s="8" t="s">
        <v>382</v>
      </c>
      <c r="K241" s="8" t="s">
        <v>218</v>
      </c>
      <c r="L241" s="19" t="s">
        <v>17</v>
      </c>
      <c r="M241" s="8">
        <v>2.654206505549416</v>
      </c>
      <c r="N241" s="8">
        <v>0.43892310751042107</v>
      </c>
      <c r="O241" s="8">
        <v>0.82728604638480219</v>
      </c>
      <c r="P241" s="8">
        <v>2.9417859123809671</v>
      </c>
    </row>
    <row r="242" spans="10:16" x14ac:dyDescent="0.35">
      <c r="J242" s="20" t="s">
        <v>362</v>
      </c>
      <c r="K242" s="20" t="s">
        <v>218</v>
      </c>
      <c r="L242" s="22" t="s">
        <v>17</v>
      </c>
      <c r="M242" s="20">
        <v>1.6560617437007801</v>
      </c>
      <c r="N242" s="20">
        <v>0.36737866155338122</v>
      </c>
      <c r="O242" s="20">
        <v>0.72410971791884049</v>
      </c>
      <c r="P242" s="20">
        <v>3.5017868500268112</v>
      </c>
    </row>
    <row r="243" spans="10:16" x14ac:dyDescent="0.35">
      <c r="J243" s="20" t="s">
        <v>363</v>
      </c>
      <c r="K243" s="13" t="s">
        <v>218</v>
      </c>
      <c r="L243" s="21" t="s">
        <v>17</v>
      </c>
      <c r="M243" s="13">
        <v>2.6676874110867308</v>
      </c>
      <c r="N243" s="13">
        <v>0.3628073335804296</v>
      </c>
      <c r="O243" s="13">
        <v>0.82824265980864631</v>
      </c>
      <c r="P243" s="13">
        <v>0.62005634565765866</v>
      </c>
    </row>
    <row r="244" spans="10:16" x14ac:dyDescent="0.35">
      <c r="J244" s="20" t="s">
        <v>364</v>
      </c>
      <c r="K244" s="13" t="s">
        <v>218</v>
      </c>
      <c r="L244" s="21" t="s">
        <v>17</v>
      </c>
      <c r="M244" s="16">
        <v>2.2697061542099264</v>
      </c>
      <c r="N244" s="16">
        <v>0.35559123617214827</v>
      </c>
      <c r="O244" s="16">
        <v>0.79607910820444072</v>
      </c>
      <c r="P244" s="16">
        <v>0.27729762775412625</v>
      </c>
    </row>
    <row r="245" spans="10:16" x14ac:dyDescent="0.35">
      <c r="J245" s="8">
        <v>3</v>
      </c>
      <c r="K245" s="8" t="s">
        <v>218</v>
      </c>
      <c r="L245" s="8" t="s">
        <v>26</v>
      </c>
      <c r="M245" s="8">
        <v>2.0812705100676574</v>
      </c>
      <c r="N245" s="8">
        <f>AVERAGE(N246:N248,N240:N244)</f>
        <v>0.3542718089436081</v>
      </c>
      <c r="O245" s="8">
        <v>0.77745122202302563</v>
      </c>
      <c r="P245" s="8">
        <v>2.8448961770895349</v>
      </c>
    </row>
    <row r="246" spans="10:16" x14ac:dyDescent="0.35">
      <c r="J246" s="8">
        <v>5</v>
      </c>
      <c r="K246" s="8" t="s">
        <v>218</v>
      </c>
      <c r="L246" s="8" t="s">
        <v>26</v>
      </c>
      <c r="M246" s="8">
        <v>2.3393339333933394</v>
      </c>
      <c r="N246" s="8">
        <v>0.3766778956379877</v>
      </c>
      <c r="O246" s="8">
        <v>0.80235153470491294</v>
      </c>
      <c r="P246" s="8">
        <v>3.1498211413201425</v>
      </c>
    </row>
    <row r="247" spans="10:16" x14ac:dyDescent="0.35">
      <c r="J247" s="8">
        <v>6</v>
      </c>
      <c r="K247" s="8" t="s">
        <v>218</v>
      </c>
      <c r="L247" s="8" t="s">
        <v>26</v>
      </c>
      <c r="M247" s="8">
        <v>1.805836346196414</v>
      </c>
      <c r="N247" s="8">
        <f>AVERAGE(N248,N240:N244)*0.9</f>
        <v>0.3205430316405492</v>
      </c>
      <c r="O247" s="8">
        <v>0.74499932412662973</v>
      </c>
      <c r="P247" s="8">
        <v>3.3849355609395162</v>
      </c>
    </row>
    <row r="248" spans="10:16" x14ac:dyDescent="0.35">
      <c r="J248" s="20" t="s">
        <v>362</v>
      </c>
      <c r="K248" s="20" t="s">
        <v>218</v>
      </c>
      <c r="L248" s="20" t="s">
        <v>26</v>
      </c>
      <c r="M248" s="20">
        <f>AVERAGE(M240:M247)*0.805</f>
        <v>1.7748819042892541</v>
      </c>
      <c r="N248" s="20">
        <f>AVERAGE(N238:N244)*0.805</f>
        <v>0.2281804528188664</v>
      </c>
      <c r="O248" s="20">
        <f>AVERAGE(O240:O247)*0.805</f>
        <v>0.63258018394418514</v>
      </c>
      <c r="P248" s="20">
        <v>3.1265509597830641</v>
      </c>
    </row>
    <row r="249" spans="10:16" x14ac:dyDescent="0.35">
      <c r="J249" s="20" t="s">
        <v>363</v>
      </c>
      <c r="K249" s="13" t="s">
        <v>218</v>
      </c>
      <c r="L249" s="13" t="s">
        <v>26</v>
      </c>
      <c r="M249" s="13">
        <f t="shared" ref="M249:O249" si="85">AVERAGE(M240:M248)</f>
        <v>2.1570510927904598</v>
      </c>
      <c r="N249" s="13">
        <f t="shared" si="85"/>
        <v>0.3542718089436081</v>
      </c>
      <c r="O249" s="13">
        <f t="shared" si="85"/>
        <v>0.76878792541456864</v>
      </c>
      <c r="P249" s="13">
        <v>0.27077067795247567</v>
      </c>
    </row>
    <row r="250" spans="10:16" x14ac:dyDescent="0.35">
      <c r="J250" s="20" t="s">
        <v>364</v>
      </c>
      <c r="K250" s="13" t="s">
        <v>218</v>
      </c>
      <c r="L250" s="13" t="s">
        <v>26</v>
      </c>
      <c r="M250" s="16">
        <f t="shared" ref="M250:O250" si="86">_xlfn.STDEV.S(M240:M248)</f>
        <v>0.36742760878372982</v>
      </c>
      <c r="N250" s="16">
        <f t="shared" si="86"/>
        <v>5.6832008451458894E-2</v>
      </c>
      <c r="O250" s="16">
        <f t="shared" si="86"/>
        <v>6.1556707100812402E-2</v>
      </c>
      <c r="P250" s="16">
        <v>0.12109232844308783</v>
      </c>
    </row>
    <row r="251" spans="10:16" x14ac:dyDescent="0.35">
      <c r="J251" s="8">
        <v>3</v>
      </c>
      <c r="K251" s="8" t="s">
        <v>218</v>
      </c>
      <c r="L251" s="8" t="s">
        <v>35</v>
      </c>
      <c r="M251" s="8">
        <f t="shared" ref="M251:O251" si="87">M250/SQRT(COUNT(M244:M248))</f>
        <v>0.16431862201012373</v>
      </c>
      <c r="N251" s="8">
        <f t="shared" si="87"/>
        <v>2.5416046839060926E-2</v>
      </c>
      <c r="O251" s="8">
        <f t="shared" si="87"/>
        <v>2.7528996309692105E-2</v>
      </c>
      <c r="P251" s="8">
        <v>2.8448961770895349</v>
      </c>
    </row>
    <row r="252" spans="10:16" x14ac:dyDescent="0.35">
      <c r="J252" s="8">
        <v>5</v>
      </c>
      <c r="K252" s="8" t="s">
        <v>218</v>
      </c>
      <c r="L252" s="8" t="s">
        <v>35</v>
      </c>
      <c r="M252" s="8">
        <v>2.3393339333933394</v>
      </c>
      <c r="N252" s="8">
        <v>0.3766778956379877</v>
      </c>
      <c r="O252" s="8">
        <v>0.80235153470491294</v>
      </c>
      <c r="P252" s="8">
        <v>3.1498211413201425</v>
      </c>
    </row>
    <row r="253" spans="10:16" x14ac:dyDescent="0.35">
      <c r="J253" s="8">
        <v>6</v>
      </c>
      <c r="K253" s="8" t="s">
        <v>218</v>
      </c>
      <c r="L253" s="8" t="s">
        <v>35</v>
      </c>
      <c r="M253" s="8">
        <v>1.805836346196414</v>
      </c>
      <c r="N253" s="8">
        <v>0.64581543424365384</v>
      </c>
      <c r="O253" s="8">
        <v>0.74499932412662973</v>
      </c>
      <c r="P253" s="8">
        <v>3.3849355609395162</v>
      </c>
    </row>
    <row r="254" spans="10:16" x14ac:dyDescent="0.35">
      <c r="J254" s="8">
        <v>4</v>
      </c>
      <c r="K254" s="8" t="s">
        <v>218</v>
      </c>
      <c r="L254" s="8" t="s">
        <v>35</v>
      </c>
      <c r="M254" s="8">
        <f>AVERAGE(M255:M259,M252:M253)*0.8055</f>
        <v>1.8233871629928298</v>
      </c>
      <c r="N254" s="8">
        <f>AVERAGE(N258:N259,N252:N253,N255:N256)*0.8055</f>
        <v>0.35925210447894057</v>
      </c>
      <c r="O254" s="8">
        <f>AVERAGE(O255:O259,O252:O253)*0.8055</f>
        <v>0.6396720725760553</v>
      </c>
      <c r="P254" s="8">
        <v>3.1348382680923259</v>
      </c>
    </row>
    <row r="255" spans="10:16" x14ac:dyDescent="0.35">
      <c r="J255" s="8">
        <v>5</v>
      </c>
      <c r="K255" s="8" t="s">
        <v>218</v>
      </c>
      <c r="L255" s="8" t="s">
        <v>35</v>
      </c>
      <c r="M255" s="8">
        <v>2.4291446864150772</v>
      </c>
      <c r="N255" s="8">
        <v>0.43057181325420019</v>
      </c>
      <c r="O255" s="8">
        <v>0.81000792144337053</v>
      </c>
      <c r="P255" s="8">
        <v>2.9092654764957575</v>
      </c>
    </row>
    <row r="256" spans="10:16" x14ac:dyDescent="0.35">
      <c r="J256" s="8">
        <v>6</v>
      </c>
      <c r="K256" s="8" t="s">
        <v>218</v>
      </c>
      <c r="L256" s="8" t="s">
        <v>35</v>
      </c>
      <c r="M256" s="8">
        <v>2.2723087513983309</v>
      </c>
      <c r="N256" s="8">
        <v>0.45483590050009332</v>
      </c>
      <c r="O256" s="8">
        <v>0.79631912385012515</v>
      </c>
      <c r="P256" s="8">
        <v>3.1107374754999904</v>
      </c>
    </row>
    <row r="257" spans="10:16" x14ac:dyDescent="0.35">
      <c r="J257" s="20" t="s">
        <v>362</v>
      </c>
      <c r="K257" s="20" t="s">
        <v>218</v>
      </c>
      <c r="L257" s="20" t="s">
        <v>35</v>
      </c>
      <c r="M257" s="20">
        <v>2.2928518855262587</v>
      </c>
      <c r="N257" s="20">
        <f>AVERAGE(N258:N259,N252:N256)</f>
        <v>0.43360649056157319</v>
      </c>
      <c r="O257" s="20">
        <v>0.79819825995278459</v>
      </c>
      <c r="P257" s="20">
        <v>3.0890823499062114</v>
      </c>
    </row>
    <row r="258" spans="10:16" x14ac:dyDescent="0.35">
      <c r="J258" s="20" t="s">
        <v>363</v>
      </c>
      <c r="K258" s="13" t="s">
        <v>218</v>
      </c>
      <c r="L258" s="13" t="s">
        <v>35</v>
      </c>
      <c r="M258" s="13">
        <v>2.388882700233931</v>
      </c>
      <c r="N258" s="13">
        <v>0.40564474875378043</v>
      </c>
      <c r="O258" s="13">
        <v>0.80663380525745831</v>
      </c>
      <c r="P258" s="13">
        <v>0.19273913288828814</v>
      </c>
    </row>
    <row r="259" spans="10:16" x14ac:dyDescent="0.35">
      <c r="J259" s="20" t="s">
        <v>364</v>
      </c>
      <c r="K259" s="13" t="s">
        <v>218</v>
      </c>
      <c r="L259" s="13" t="s">
        <v>35</v>
      </c>
      <c r="M259" s="16">
        <v>2.3173401958432382</v>
      </c>
      <c r="N259" s="16">
        <v>0.36244753706235644</v>
      </c>
      <c r="O259" s="16">
        <v>0.80040313809164287</v>
      </c>
      <c r="P259" s="16">
        <v>8.6195560612515529E-2</v>
      </c>
    </row>
    <row r="260" spans="10:16" x14ac:dyDescent="0.35">
      <c r="J260" s="8">
        <v>1</v>
      </c>
      <c r="K260" s="8" t="s">
        <v>243</v>
      </c>
      <c r="L260" s="19" t="s">
        <v>17</v>
      </c>
      <c r="M260" s="8">
        <f t="shared" ref="M260:O260" si="88">AVERAGE(M258:M259,M253:M257)*0.9</f>
        <v>1.9709680793922102</v>
      </c>
      <c r="N260" s="8">
        <f t="shared" si="88"/>
        <v>0.39756523228130547</v>
      </c>
      <c r="O260" s="8">
        <f t="shared" si="88"/>
        <v>0.69380146868118009</v>
      </c>
      <c r="P260" s="8">
        <v>2.6613886573229117</v>
      </c>
    </row>
    <row r="261" spans="10:16" x14ac:dyDescent="0.35">
      <c r="J261" s="8">
        <v>2</v>
      </c>
      <c r="K261" s="8" t="s">
        <v>243</v>
      </c>
      <c r="L261" s="19" t="s">
        <v>17</v>
      </c>
      <c r="M261" s="8">
        <f t="shared" ref="M261:O261" si="89">AVERAGE(M252:M260)</f>
        <v>2.1822281934879588</v>
      </c>
      <c r="N261" s="8">
        <f t="shared" si="89"/>
        <v>0.4296019063082101</v>
      </c>
      <c r="O261" s="8">
        <f t="shared" si="89"/>
        <v>0.76582073874268441</v>
      </c>
      <c r="P261" s="8">
        <v>3.0656082590457148</v>
      </c>
    </row>
    <row r="262" spans="10:16" x14ac:dyDescent="0.35">
      <c r="J262" s="8">
        <v>4</v>
      </c>
      <c r="K262" s="8" t="s">
        <v>243</v>
      </c>
      <c r="L262" s="19" t="s">
        <v>17</v>
      </c>
      <c r="M262" s="8">
        <f t="shared" ref="M262:O262" si="90">_xlfn.STDEV.S(M252:M260)</f>
        <v>0.24546689139404607</v>
      </c>
      <c r="N262" s="8">
        <f t="shared" si="90"/>
        <v>8.7508621183954582E-2</v>
      </c>
      <c r="O262" s="8">
        <f t="shared" si="90"/>
        <v>6.0890170417754436E-2</v>
      </c>
      <c r="P262" s="8">
        <v>2.6855789883405254</v>
      </c>
    </row>
    <row r="263" spans="10:16" x14ac:dyDescent="0.35">
      <c r="J263" s="20" t="s">
        <v>362</v>
      </c>
      <c r="K263" s="20" t="s">
        <v>243</v>
      </c>
      <c r="L263" s="22" t="s">
        <v>17</v>
      </c>
      <c r="M263" s="20">
        <f t="shared" ref="M263:O263" si="91">M262/SQRT(COUNT(M256:M260))</f>
        <v>0.10977613107652902</v>
      </c>
      <c r="N263" s="20">
        <f t="shared" si="91"/>
        <v>3.9135045116920113E-2</v>
      </c>
      <c r="O263" s="20">
        <f t="shared" si="91"/>
        <v>2.7230912043129135E-2</v>
      </c>
      <c r="P263" s="20">
        <v>2.8041919682363843</v>
      </c>
    </row>
    <row r="264" spans="10:16" x14ac:dyDescent="0.35">
      <c r="J264" s="20" t="s">
        <v>363</v>
      </c>
      <c r="K264" s="13" t="s">
        <v>243</v>
      </c>
      <c r="L264" s="21" t="s">
        <v>17</v>
      </c>
      <c r="M264" s="13">
        <v>1.5242863796659791</v>
      </c>
      <c r="N264" s="13">
        <v>0.31629564956224604</v>
      </c>
      <c r="O264" s="13">
        <v>0.70078720624984092</v>
      </c>
      <c r="P264" s="13">
        <v>0.22671601366923086</v>
      </c>
    </row>
    <row r="265" spans="10:16" x14ac:dyDescent="0.35">
      <c r="J265" s="20" t="s">
        <v>364</v>
      </c>
      <c r="K265" s="13" t="s">
        <v>243</v>
      </c>
      <c r="L265" s="21" t="s">
        <v>17</v>
      </c>
      <c r="M265" s="16">
        <v>2.4026952485593198</v>
      </c>
      <c r="N265" s="16">
        <v>0.40962593304237965</v>
      </c>
      <c r="O265" s="16">
        <v>0.80546208572082212</v>
      </c>
      <c r="P265" s="16">
        <v>0.10139048363043433</v>
      </c>
    </row>
    <row r="266" spans="10:16" x14ac:dyDescent="0.35">
      <c r="J266" s="8">
        <v>1</v>
      </c>
      <c r="K266" s="8" t="s">
        <v>243</v>
      </c>
      <c r="L266" s="8" t="s">
        <v>26</v>
      </c>
      <c r="M266" s="8">
        <v>2.8423558008811463</v>
      </c>
      <c r="N266" s="8">
        <v>0.38135412769673693</v>
      </c>
      <c r="O266" s="8">
        <v>0.83775799488804292</v>
      </c>
      <c r="P266" s="8">
        <v>2.9222311677646498</v>
      </c>
    </row>
    <row r="267" spans="10:16" x14ac:dyDescent="0.35">
      <c r="J267" s="8">
        <v>2</v>
      </c>
      <c r="K267" s="8" t="s">
        <v>243</v>
      </c>
      <c r="L267" s="8" t="s">
        <v>26</v>
      </c>
      <c r="M267" s="8">
        <v>2.7358444116198917</v>
      </c>
      <c r="N267" s="8">
        <v>0.54126146225907446</v>
      </c>
      <c r="O267" s="8">
        <v>0.83074371831155547</v>
      </c>
      <c r="P267" s="8">
        <v>3.1406776030126844</v>
      </c>
    </row>
    <row r="268" spans="10:16" x14ac:dyDescent="0.35">
      <c r="J268" s="8">
        <v>3</v>
      </c>
      <c r="K268" s="8" t="s">
        <v>243</v>
      </c>
      <c r="L268" s="8" t="s">
        <v>26</v>
      </c>
      <c r="M268" s="8">
        <v>2.685309760303082</v>
      </c>
      <c r="N268" s="8">
        <f>AVERAGE(N269,N264:N267)</f>
        <v>0.43667303541177971</v>
      </c>
      <c r="O268" s="8">
        <v>0.82724954269355522</v>
      </c>
      <c r="P268" s="8">
        <v>2.972599052967789</v>
      </c>
    </row>
    <row r="269" spans="10:16" x14ac:dyDescent="0.35">
      <c r="J269" s="8">
        <v>1</v>
      </c>
      <c r="K269" s="8" t="s">
        <v>243</v>
      </c>
      <c r="L269" s="8" t="s">
        <v>26</v>
      </c>
      <c r="M269" s="8">
        <v>2.2813648747999826</v>
      </c>
      <c r="N269" s="8">
        <v>0.53482800449846146</v>
      </c>
      <c r="O269" s="8">
        <v>0.79476546595634312</v>
      </c>
      <c r="P269" s="8">
        <v>2.7711303107952219</v>
      </c>
    </row>
    <row r="270" spans="10:16" x14ac:dyDescent="0.35">
      <c r="J270" s="8">
        <v>4</v>
      </c>
      <c r="K270" s="8" t="s">
        <v>243</v>
      </c>
      <c r="L270" s="8" t="s">
        <v>26</v>
      </c>
      <c r="M270" s="8">
        <f t="shared" ref="M270:O270" si="92">AVERAGE(M264:M269)</f>
        <v>2.4119760793049001</v>
      </c>
      <c r="N270" s="8">
        <f t="shared" si="92"/>
        <v>0.43667303541177976</v>
      </c>
      <c r="O270" s="8">
        <f t="shared" si="92"/>
        <v>0.79946100230336004</v>
      </c>
      <c r="P270" s="8">
        <v>3.1319847482486507</v>
      </c>
    </row>
    <row r="271" spans="10:16" x14ac:dyDescent="0.35">
      <c r="J271" s="8">
        <v>5</v>
      </c>
      <c r="K271" s="8" t="s">
        <v>243</v>
      </c>
      <c r="L271" s="8" t="s">
        <v>26</v>
      </c>
      <c r="M271" s="8">
        <f t="shared" ref="M271:O271" si="93">_xlfn.STDEV.S(M264:M269)</f>
        <v>0.48372866898606498</v>
      </c>
      <c r="N271" s="8">
        <f t="shared" si="93"/>
        <v>8.815393276324418E-2</v>
      </c>
      <c r="O271" s="8">
        <f t="shared" si="93"/>
        <v>5.101382171584315E-2</v>
      </c>
      <c r="P271" s="8">
        <v>3.0891435659819377</v>
      </c>
    </row>
    <row r="272" spans="10:16" x14ac:dyDescent="0.35">
      <c r="J272" s="8">
        <v>3</v>
      </c>
      <c r="K272" s="8" t="s">
        <v>243</v>
      </c>
      <c r="L272" s="8" t="s">
        <v>26</v>
      </c>
      <c r="M272" s="8">
        <f t="shared" ref="M272:O272" si="94">M271/SQRT(COUNT(M265:M269))</f>
        <v>0.21633003730366709</v>
      </c>
      <c r="N272" s="8">
        <f t="shared" si="94"/>
        <v>3.9423637228511971E-2</v>
      </c>
      <c r="O272" s="8">
        <f t="shared" si="94"/>
        <v>2.2814074629736048E-2</v>
      </c>
      <c r="P272" s="8">
        <v>3.3668368157983002</v>
      </c>
    </row>
    <row r="273" spans="10:16" x14ac:dyDescent="0.35">
      <c r="J273" s="8">
        <v>4</v>
      </c>
      <c r="K273" s="8" t="s">
        <v>243</v>
      </c>
      <c r="L273" s="8" t="s">
        <v>26</v>
      </c>
      <c r="M273" s="8">
        <v>2.7358444116198917</v>
      </c>
      <c r="N273" s="8">
        <v>0.54126146225907446</v>
      </c>
      <c r="O273" s="8">
        <v>0.83074371831155547</v>
      </c>
      <c r="P273" s="8">
        <v>3.3111905411098315</v>
      </c>
    </row>
    <row r="274" spans="10:16" x14ac:dyDescent="0.35">
      <c r="J274" s="8">
        <v>6</v>
      </c>
      <c r="K274" s="8" t="s">
        <v>243</v>
      </c>
      <c r="L274" s="8" t="s">
        <v>26</v>
      </c>
      <c r="M274" s="8">
        <v>2.685309760303082</v>
      </c>
      <c r="N274" s="8">
        <v>0.33332183810128047</v>
      </c>
      <c r="O274" s="8">
        <v>0.82724954269355522</v>
      </c>
      <c r="P274" s="8">
        <v>3.5992565673854413</v>
      </c>
    </row>
    <row r="275" spans="10:16" x14ac:dyDescent="0.35">
      <c r="J275" s="20" t="s">
        <v>362</v>
      </c>
      <c r="K275" s="20" t="s">
        <v>243</v>
      </c>
      <c r="L275" s="20" t="s">
        <v>26</v>
      </c>
      <c r="M275" s="20">
        <v>2.2813648747999826</v>
      </c>
      <c r="N275" s="20">
        <v>0.53482800449846146</v>
      </c>
      <c r="O275" s="20">
        <v>0.79476546595634312</v>
      </c>
      <c r="P275" s="20">
        <v>3.1450055970071675</v>
      </c>
    </row>
    <row r="276" spans="10:16" x14ac:dyDescent="0.35">
      <c r="J276" s="20" t="s">
        <v>363</v>
      </c>
      <c r="K276" s="13" t="s">
        <v>243</v>
      </c>
      <c r="L276" s="13" t="s">
        <v>26</v>
      </c>
      <c r="M276" s="13">
        <v>2.8623059302621532</v>
      </c>
      <c r="N276" s="13">
        <v>0.30213169520881578</v>
      </c>
      <c r="O276" s="13">
        <v>0.83902155528992939</v>
      </c>
      <c r="P276" s="13">
        <v>0.25139970721518262</v>
      </c>
    </row>
    <row r="277" spans="10:16" x14ac:dyDescent="0.35">
      <c r="J277" s="20" t="s">
        <v>364</v>
      </c>
      <c r="K277" s="13" t="s">
        <v>243</v>
      </c>
      <c r="L277" s="13" t="s">
        <v>26</v>
      </c>
      <c r="M277" s="16">
        <v>2.3898494393066163</v>
      </c>
      <c r="N277" s="16">
        <v>0.29693015123245081</v>
      </c>
      <c r="O277" s="16">
        <v>0.80437131844276177</v>
      </c>
      <c r="P277" s="16">
        <v>7.993617164128998E-2</v>
      </c>
    </row>
    <row r="278" spans="10:16" x14ac:dyDescent="0.35">
      <c r="J278" s="8">
        <v>3</v>
      </c>
      <c r="K278" s="8" t="s">
        <v>243</v>
      </c>
      <c r="L278" s="8" t="s">
        <v>35</v>
      </c>
      <c r="M278" s="8">
        <f t="shared" ref="M278:O278" si="95">AVERAGE(M273:M277)</f>
        <v>2.590934883258345</v>
      </c>
      <c r="N278" s="8">
        <f t="shared" si="95"/>
        <v>0.40169463026001662</v>
      </c>
      <c r="O278" s="8">
        <f t="shared" si="95"/>
        <v>0.81923032013882902</v>
      </c>
      <c r="P278" s="8">
        <v>3.3668368157983002</v>
      </c>
    </row>
    <row r="279" spans="10:16" x14ac:dyDescent="0.35">
      <c r="J279" s="8">
        <v>4</v>
      </c>
      <c r="K279" s="8" t="s">
        <v>243</v>
      </c>
      <c r="L279" s="8" t="s">
        <v>35</v>
      </c>
      <c r="M279" s="8">
        <f t="shared" ref="M279:O279" si="96">_xlfn.STDEV.S(M273:M277)</f>
        <v>0.2448553552024606</v>
      </c>
      <c r="N279" s="8">
        <f t="shared" si="96"/>
        <v>0.12526632502380239</v>
      </c>
      <c r="O279" s="8">
        <f t="shared" si="96"/>
        <v>1.8760852047855849E-2</v>
      </c>
      <c r="P279" s="8">
        <v>3.3111905411098315</v>
      </c>
    </row>
    <row r="280" spans="10:16" x14ac:dyDescent="0.35">
      <c r="J280" s="8">
        <v>6</v>
      </c>
      <c r="K280" s="8" t="s">
        <v>243</v>
      </c>
      <c r="L280" s="8" t="s">
        <v>35</v>
      </c>
      <c r="M280" s="8">
        <f t="shared" ref="M280:O280" si="97">M279/SQRT(COUNT(M273:M277))</f>
        <v>0.10950264377751173</v>
      </c>
      <c r="N280" s="8">
        <f t="shared" si="97"/>
        <v>5.6020803608961015E-2</v>
      </c>
      <c r="O280" s="8">
        <f t="shared" si="97"/>
        <v>8.390108098964363E-3</v>
      </c>
      <c r="P280" s="8">
        <v>3.5992565673854413</v>
      </c>
    </row>
    <row r="281" spans="10:16" x14ac:dyDescent="0.35">
      <c r="J281" s="8">
        <v>2</v>
      </c>
      <c r="K281" s="8" t="s">
        <v>243</v>
      </c>
      <c r="L281" s="8" t="s">
        <v>35</v>
      </c>
      <c r="M281" s="8">
        <v>2.8793748830245183</v>
      </c>
      <c r="N281" s="8">
        <v>0.41435761587507119</v>
      </c>
      <c r="O281" s="8">
        <v>0.84466308332957307</v>
      </c>
      <c r="P281" s="8">
        <v>3.1087797050967936</v>
      </c>
    </row>
    <row r="282" spans="10:16" x14ac:dyDescent="0.35">
      <c r="J282" s="8">
        <v>4</v>
      </c>
      <c r="K282" s="8" t="s">
        <v>243</v>
      </c>
      <c r="L282" s="8" t="s">
        <v>35</v>
      </c>
      <c r="M282" s="8">
        <v>1.3808260507698709</v>
      </c>
      <c r="N282" s="8">
        <v>0.55978465420699108</v>
      </c>
      <c r="O282" s="8">
        <v>0.762774676369251</v>
      </c>
      <c r="P282" s="8">
        <v>3.7248377308150489</v>
      </c>
    </row>
    <row r="283" spans="10:16" x14ac:dyDescent="0.35">
      <c r="J283" s="8">
        <v>5</v>
      </c>
      <c r="K283" s="8" t="s">
        <v>243</v>
      </c>
      <c r="L283" s="8" t="s">
        <v>35</v>
      </c>
      <c r="M283" s="8">
        <v>2.1137107497187282</v>
      </c>
      <c r="N283" s="8">
        <v>0.39167496272984487</v>
      </c>
      <c r="O283" s="8">
        <v>0.81340612530906509</v>
      </c>
      <c r="P283" s="8">
        <v>3.0821569544306242</v>
      </c>
    </row>
    <row r="284" spans="10:16" x14ac:dyDescent="0.35">
      <c r="J284" s="8">
        <v>1</v>
      </c>
      <c r="K284" s="8" t="s">
        <v>243</v>
      </c>
      <c r="L284" s="8" t="s">
        <v>35</v>
      </c>
      <c r="M284" s="8">
        <f t="shared" ref="M284:O284" si="98">AVERAGE(M281:M283)</f>
        <v>2.1246372278377055</v>
      </c>
      <c r="N284" s="8">
        <f t="shared" si="98"/>
        <v>0.45527241093730236</v>
      </c>
      <c r="O284" s="8">
        <f t="shared" si="98"/>
        <v>0.80694796166929639</v>
      </c>
      <c r="P284" s="8">
        <v>3.3597465473808272</v>
      </c>
    </row>
    <row r="285" spans="10:16" x14ac:dyDescent="0.35">
      <c r="J285" s="8">
        <v>3</v>
      </c>
      <c r="K285" s="8" t="s">
        <v>243</v>
      </c>
      <c r="L285" s="8" t="s">
        <v>35</v>
      </c>
      <c r="M285" s="8">
        <f t="shared" ref="M285:O285" si="99">_xlfn.STDEV.S(M281:M283)</f>
        <v>0.74933416551362797</v>
      </c>
      <c r="N285" s="8">
        <f t="shared" si="99"/>
        <v>9.1218048835598087E-2</v>
      </c>
      <c r="O285" s="8">
        <f t="shared" si="99"/>
        <v>4.1324432323062273E-2</v>
      </c>
      <c r="P285" s="8">
        <v>3.0034829121119171</v>
      </c>
    </row>
    <row r="286" spans="10:16" x14ac:dyDescent="0.35">
      <c r="J286" s="8">
        <v>4</v>
      </c>
      <c r="K286" s="8" t="s">
        <v>243</v>
      </c>
      <c r="L286" s="8" t="s">
        <v>35</v>
      </c>
      <c r="M286" s="8">
        <f t="shared" ref="M286:O286" si="100">M285/SQRT(COUNT(M279:M283))</f>
        <v>0.33511242639031014</v>
      </c>
      <c r="N286" s="8">
        <f t="shared" si="100"/>
        <v>4.0793951594258568E-2</v>
      </c>
      <c r="O286" s="8">
        <f t="shared" si="100"/>
        <v>1.8480847961191357E-2</v>
      </c>
      <c r="P286" s="8">
        <v>3.2900894719125704</v>
      </c>
    </row>
    <row r="287" spans="10:16" x14ac:dyDescent="0.35">
      <c r="J287" s="20" t="s">
        <v>362</v>
      </c>
      <c r="K287" s="20" t="s">
        <v>243</v>
      </c>
      <c r="L287" s="20" t="s">
        <v>35</v>
      </c>
      <c r="M287" s="20">
        <v>2.8793748830245183</v>
      </c>
      <c r="N287" s="20">
        <v>0.41435761587507119</v>
      </c>
      <c r="O287" s="20">
        <v>0.84466308332957307</v>
      </c>
      <c r="P287" s="20">
        <v>3.3162641384490392</v>
      </c>
    </row>
    <row r="288" spans="10:16" x14ac:dyDescent="0.35">
      <c r="J288" s="20" t="s">
        <v>363</v>
      </c>
      <c r="K288" s="13" t="s">
        <v>243</v>
      </c>
      <c r="L288" s="13" t="s">
        <v>35</v>
      </c>
      <c r="M288" s="13">
        <v>1.3808260507698709</v>
      </c>
      <c r="N288" s="13">
        <v>0.55978465420699108</v>
      </c>
      <c r="O288" s="13">
        <v>0.762774676369251</v>
      </c>
      <c r="P288" s="13">
        <v>0.23660735528368482</v>
      </c>
    </row>
    <row r="289" spans="10:16" x14ac:dyDescent="0.35">
      <c r="J289" s="20" t="s">
        <v>364</v>
      </c>
      <c r="K289" s="13" t="s">
        <v>243</v>
      </c>
      <c r="L289" s="13" t="s">
        <v>35</v>
      </c>
      <c r="M289" s="16">
        <v>2.1137107497187282</v>
      </c>
      <c r="N289" s="16">
        <v>0.39167496272984487</v>
      </c>
      <c r="O289" s="16">
        <v>0.81340612530906509</v>
      </c>
      <c r="P289" s="16">
        <v>7.1347560208018315E-2</v>
      </c>
    </row>
    <row r="290" spans="10:16" x14ac:dyDescent="0.35">
      <c r="J290" s="8">
        <v>1</v>
      </c>
      <c r="K290" s="8" t="s">
        <v>268</v>
      </c>
      <c r="L290" s="19" t="s">
        <v>17</v>
      </c>
      <c r="M290" s="8">
        <v>1.5622087962725923</v>
      </c>
      <c r="N290" s="8">
        <v>0.48307233158003171</v>
      </c>
      <c r="O290" s="8">
        <v>0.77916327826987331</v>
      </c>
      <c r="P290" s="8">
        <v>2.8418427173149805</v>
      </c>
    </row>
    <row r="291" spans="10:16" x14ac:dyDescent="0.35">
      <c r="J291" s="8">
        <v>2</v>
      </c>
      <c r="K291" s="8" t="s">
        <v>268</v>
      </c>
      <c r="L291" s="19" t="s">
        <v>17</v>
      </c>
      <c r="M291" s="8">
        <v>2.4709441233140654</v>
      </c>
      <c r="N291" s="8">
        <f>AVERAGE(N287:N290)*1.1</f>
        <v>0.50844463020778319</v>
      </c>
      <c r="O291" s="8">
        <v>0.87192890592138605</v>
      </c>
      <c r="P291" s="8">
        <v>3.6914554398295438</v>
      </c>
    </row>
    <row r="292" spans="10:16" x14ac:dyDescent="0.35">
      <c r="J292" s="8">
        <v>3</v>
      </c>
      <c r="K292" s="8" t="s">
        <v>268</v>
      </c>
      <c r="L292" s="19" t="s">
        <v>17</v>
      </c>
      <c r="M292" s="8">
        <v>1.360831255195345</v>
      </c>
      <c r="N292" s="8">
        <v>0.2853450104082863</v>
      </c>
      <c r="O292" s="8">
        <v>0.70380127655128355</v>
      </c>
      <c r="P292" s="8">
        <v>3.1591604425184721</v>
      </c>
    </row>
    <row r="293" spans="10:16" x14ac:dyDescent="0.35">
      <c r="J293" s="8">
        <v>4</v>
      </c>
      <c r="K293" s="8" t="s">
        <v>268</v>
      </c>
      <c r="L293" s="19" t="s">
        <v>17</v>
      </c>
      <c r="M293" s="8">
        <f t="shared" ref="M293:O293" si="101">AVERAGE(M287:M292)</f>
        <v>1.9613159763825199</v>
      </c>
      <c r="N293" s="8">
        <f t="shared" si="101"/>
        <v>0.44044653416800134</v>
      </c>
      <c r="O293" s="8">
        <f t="shared" si="101"/>
        <v>0.79595622429173873</v>
      </c>
      <c r="P293" s="8">
        <v>3.5486663567607817</v>
      </c>
    </row>
    <row r="294" spans="10:16" x14ac:dyDescent="0.35">
      <c r="J294" s="20" t="s">
        <v>362</v>
      </c>
      <c r="K294" s="20" t="s">
        <v>268</v>
      </c>
      <c r="L294" s="22" t="s">
        <v>17</v>
      </c>
      <c r="M294" s="20">
        <f t="shared" ref="M294:O294" si="102">_xlfn.STDEV.S(M287:M292)</f>
        <v>0.6297005901985625</v>
      </c>
      <c r="N294" s="20">
        <f t="shared" si="102"/>
        <v>9.7773275566808454E-2</v>
      </c>
      <c r="O294" s="20">
        <f t="shared" si="102"/>
        <v>6.0538017920175359E-2</v>
      </c>
      <c r="P294" s="20">
        <v>3.3102812391059446</v>
      </c>
    </row>
    <row r="295" spans="10:16" x14ac:dyDescent="0.35">
      <c r="J295" s="20" t="s">
        <v>363</v>
      </c>
      <c r="K295" s="13" t="s">
        <v>268</v>
      </c>
      <c r="L295" s="21" t="s">
        <v>17</v>
      </c>
      <c r="M295" s="13">
        <f t="shared" ref="M295:O295" si="103">M294/SQRT(COUNT(M288:M292))</f>
        <v>0.28161066503114468</v>
      </c>
      <c r="N295" s="13">
        <f t="shared" si="103"/>
        <v>4.3725538110040596E-2</v>
      </c>
      <c r="O295" s="13">
        <f t="shared" si="103"/>
        <v>2.7073424658522506E-2</v>
      </c>
      <c r="P295" s="13">
        <v>0.38487806704440564</v>
      </c>
    </row>
    <row r="296" spans="10:16" x14ac:dyDescent="0.35">
      <c r="J296" s="20" t="s">
        <v>364</v>
      </c>
      <c r="K296" s="13" t="s">
        <v>268</v>
      </c>
      <c r="L296" s="21" t="s">
        <v>17</v>
      </c>
      <c r="M296" s="16">
        <v>0.68705924899041637</v>
      </c>
      <c r="N296" s="16">
        <v>0.34775008504705046</v>
      </c>
      <c r="O296" s="16">
        <v>0.51671826103022112</v>
      </c>
      <c r="P296" s="16">
        <v>0.17212270419200251</v>
      </c>
    </row>
    <row r="297" spans="10:16" x14ac:dyDescent="0.35">
      <c r="J297" s="8">
        <v>1</v>
      </c>
      <c r="K297" s="8" t="s">
        <v>268</v>
      </c>
      <c r="L297" s="8" t="s">
        <v>26</v>
      </c>
      <c r="M297" s="8">
        <v>1.6251809648344336E-2</v>
      </c>
      <c r="N297" s="8">
        <v>0.32149304272827534</v>
      </c>
      <c r="O297" s="8">
        <v>2.1169457165678567E-2</v>
      </c>
      <c r="P297" s="8">
        <v>3.2581276606756422</v>
      </c>
    </row>
    <row r="298" spans="10:16" x14ac:dyDescent="0.35">
      <c r="J298" s="8">
        <v>2</v>
      </c>
      <c r="K298" s="8" t="s">
        <v>268</v>
      </c>
      <c r="L298" s="8" t="s">
        <v>26</v>
      </c>
      <c r="M298" s="8">
        <v>1.2577573208475519</v>
      </c>
      <c r="N298" s="8">
        <v>0.27994224576201021</v>
      </c>
      <c r="O298" s="8">
        <v>0.64673517662527624</v>
      </c>
      <c r="P298" s="8">
        <v>3.056169045517787</v>
      </c>
    </row>
    <row r="299" spans="10:16" x14ac:dyDescent="0.35">
      <c r="J299" s="8">
        <v>3</v>
      </c>
      <c r="K299" s="8" t="s">
        <v>268</v>
      </c>
      <c r="L299" s="8" t="s">
        <v>26</v>
      </c>
      <c r="M299" s="8">
        <v>1.3036604290278411</v>
      </c>
      <c r="N299" s="8">
        <v>0.56510242802911226</v>
      </c>
      <c r="O299" s="8">
        <v>0.69515230197100708</v>
      </c>
      <c r="P299" s="8">
        <v>3.0982580039669543</v>
      </c>
    </row>
    <row r="300" spans="10:16" x14ac:dyDescent="0.35">
      <c r="J300" s="8">
        <v>1</v>
      </c>
      <c r="K300" s="8" t="s">
        <v>268</v>
      </c>
      <c r="L300" s="8" t="s">
        <v>26</v>
      </c>
      <c r="M300" s="8">
        <v>3.0278470490440551E-2</v>
      </c>
      <c r="N300" s="8">
        <v>0.23041549069993747</v>
      </c>
      <c r="O300" s="8">
        <v>3.8570095309057702E-2</v>
      </c>
      <c r="P300" s="8">
        <v>3.3080853164047199</v>
      </c>
    </row>
    <row r="301" spans="10:16" x14ac:dyDescent="0.35">
      <c r="J301" s="8">
        <v>2</v>
      </c>
      <c r="K301" s="8" t="s">
        <v>268</v>
      </c>
      <c r="L301" s="8" t="s">
        <v>26</v>
      </c>
      <c r="M301" s="8">
        <v>1.1931007901329735</v>
      </c>
      <c r="N301" s="8">
        <v>0.31476300784670541</v>
      </c>
      <c r="O301" s="8">
        <v>0.63249630355747755</v>
      </c>
      <c r="P301" s="8">
        <v>3.001153854753972</v>
      </c>
    </row>
    <row r="302" spans="10:16" x14ac:dyDescent="0.35">
      <c r="J302" s="8">
        <v>3</v>
      </c>
      <c r="K302" s="8" t="s">
        <v>268</v>
      </c>
      <c r="L302" s="8" t="s">
        <v>26</v>
      </c>
      <c r="M302" s="8">
        <f>AVERAGE(M296:M301,M303:M304)*1.1</f>
        <v>0.8446529763944326</v>
      </c>
      <c r="N302" s="8">
        <v>0.38980434528215951</v>
      </c>
      <c r="O302" s="8">
        <f>AVERAGE(O296:O301,O303:O304)*1.1</f>
        <v>0.5099481487972467</v>
      </c>
      <c r="P302" s="8">
        <v>3.3201143928225152</v>
      </c>
    </row>
    <row r="303" spans="10:16" x14ac:dyDescent="0.35">
      <c r="J303" s="8">
        <v>1</v>
      </c>
      <c r="K303" s="8" t="s">
        <v>268</v>
      </c>
      <c r="L303" s="8" t="s">
        <v>26</v>
      </c>
      <c r="M303" s="8">
        <v>1.0167636616522091</v>
      </c>
      <c r="N303" s="8">
        <v>0.34921080699898244</v>
      </c>
      <c r="O303" s="8">
        <v>0.65064586536242486</v>
      </c>
      <c r="P303" s="8">
        <v>3.1210780966662215</v>
      </c>
    </row>
    <row r="304" spans="10:16" x14ac:dyDescent="0.35">
      <c r="J304" s="8">
        <v>2</v>
      </c>
      <c r="K304" s="8" t="s">
        <v>268</v>
      </c>
      <c r="L304" s="8" t="s">
        <v>26</v>
      </c>
      <c r="M304" s="8">
        <v>0.6380590066242785</v>
      </c>
      <c r="N304" s="8">
        <v>0.33060164705179235</v>
      </c>
      <c r="O304" s="8">
        <v>0.50722634841337844</v>
      </c>
      <c r="P304" s="8">
        <v>3.1591205243291598</v>
      </c>
    </row>
    <row r="305" spans="10:16" x14ac:dyDescent="0.35">
      <c r="J305" s="8">
        <v>3</v>
      </c>
      <c r="K305" s="8" t="s">
        <v>268</v>
      </c>
      <c r="L305" s="8" t="s">
        <v>26</v>
      </c>
      <c r="M305" s="8">
        <f t="shared" ref="M305:O305" si="104">AVERAGE(M296:M304)</f>
        <v>0.77639819042316516</v>
      </c>
      <c r="N305" s="8">
        <f t="shared" si="104"/>
        <v>0.34767589993844727</v>
      </c>
      <c r="O305" s="8">
        <f t="shared" si="104"/>
        <v>0.46874021758130752</v>
      </c>
      <c r="P305" s="8">
        <v>2.8646869959167662</v>
      </c>
    </row>
    <row r="306" spans="10:16" x14ac:dyDescent="0.35">
      <c r="J306" s="20" t="s">
        <v>362</v>
      </c>
      <c r="K306" s="20" t="s">
        <v>268</v>
      </c>
      <c r="L306" s="20" t="s">
        <v>26</v>
      </c>
      <c r="M306" s="20">
        <f t="shared" ref="M306:O306" si="105">_xlfn.STDEV.S(M296:M304)</f>
        <v>0.48829086436536562</v>
      </c>
      <c r="N306" s="20">
        <f t="shared" si="105"/>
        <v>9.317298732720071E-2</v>
      </c>
      <c r="O306" s="20">
        <f t="shared" si="105"/>
        <v>0.25828701234796653</v>
      </c>
      <c r="P306" s="20">
        <v>3.13186598789486</v>
      </c>
    </row>
    <row r="307" spans="10:16" x14ac:dyDescent="0.35">
      <c r="J307" s="20" t="s">
        <v>363</v>
      </c>
      <c r="K307" s="13" t="s">
        <v>268</v>
      </c>
      <c r="L307" s="13" t="s">
        <v>26</v>
      </c>
      <c r="M307" s="13">
        <f t="shared" ref="M307:O307" si="106">M306/M305</f>
        <v>0.62891808660608728</v>
      </c>
      <c r="N307" s="13">
        <f t="shared" si="106"/>
        <v>0.26798805250434704</v>
      </c>
      <c r="O307" s="13">
        <f t="shared" si="106"/>
        <v>0.55102379241261534</v>
      </c>
      <c r="P307" s="13">
        <v>0.14942460943511404</v>
      </c>
    </row>
    <row r="308" spans="10:16" x14ac:dyDescent="0.35">
      <c r="J308" s="20" t="s">
        <v>364</v>
      </c>
      <c r="K308" s="13" t="s">
        <v>268</v>
      </c>
      <c r="L308" s="13" t="s">
        <v>26</v>
      </c>
      <c r="M308" s="16">
        <v>2.6541713943182548</v>
      </c>
      <c r="N308" s="16">
        <v>0.38980434528215951</v>
      </c>
      <c r="O308" s="16">
        <v>0.82178740629094116</v>
      </c>
      <c r="P308" s="16">
        <v>4.7711048305598948E-2</v>
      </c>
    </row>
    <row r="309" spans="10:16" x14ac:dyDescent="0.35">
      <c r="J309" s="8">
        <v>1</v>
      </c>
      <c r="K309" s="8" t="s">
        <v>268</v>
      </c>
      <c r="L309" s="8" t="s">
        <v>35</v>
      </c>
      <c r="M309" s="8">
        <v>1.0167636616522091</v>
      </c>
      <c r="N309" s="8">
        <v>0.34921080699898244</v>
      </c>
      <c r="O309" s="8">
        <v>0.65064586536242486</v>
      </c>
      <c r="P309" s="8">
        <v>3.1210780966662215</v>
      </c>
    </row>
    <row r="310" spans="10:16" x14ac:dyDescent="0.35">
      <c r="J310" s="8">
        <v>2</v>
      </c>
      <c r="K310" s="8" t="s">
        <v>268</v>
      </c>
      <c r="L310" s="8" t="s">
        <v>35</v>
      </c>
      <c r="M310" s="8">
        <v>0.6380590066242785</v>
      </c>
      <c r="N310" s="8">
        <v>0.33060164705179235</v>
      </c>
      <c r="O310" s="8">
        <v>0.50722634841337844</v>
      </c>
      <c r="P310" s="8">
        <v>3.1591205243291598</v>
      </c>
    </row>
    <row r="311" spans="10:16" x14ac:dyDescent="0.35">
      <c r="J311" s="8">
        <v>3</v>
      </c>
      <c r="K311" s="8" t="s">
        <v>268</v>
      </c>
      <c r="L311" s="8" t="s">
        <v>35</v>
      </c>
      <c r="M311" s="8">
        <v>1.7416854277527631</v>
      </c>
      <c r="N311" s="8">
        <v>0.48840561518963982</v>
      </c>
      <c r="O311" s="8">
        <v>0.75716712537502451</v>
      </c>
      <c r="P311" s="8">
        <v>2.8646869959167662</v>
      </c>
    </row>
    <row r="312" spans="10:16" x14ac:dyDescent="0.35">
      <c r="J312" s="8">
        <v>1</v>
      </c>
      <c r="K312" s="8" t="s">
        <v>268</v>
      </c>
      <c r="L312" s="8" t="s">
        <v>35</v>
      </c>
      <c r="M312" s="8">
        <f>AVERAGE(M308:M310,M313:M316)*0.9</f>
        <v>1.8636580015622946</v>
      </c>
      <c r="N312" s="8">
        <v>0.2236637370247927</v>
      </c>
      <c r="O312" s="8">
        <f>AVERAGE(O308:O310,O313:O316)*0.9</f>
        <v>0.6536509790995797</v>
      </c>
      <c r="P312" s="8">
        <v>3.0287659765975614</v>
      </c>
    </row>
    <row r="313" spans="10:16" x14ac:dyDescent="0.35">
      <c r="J313" s="8">
        <v>2</v>
      </c>
      <c r="K313" s="8" t="s">
        <v>268</v>
      </c>
      <c r="L313" s="8" t="s">
        <v>35</v>
      </c>
      <c r="M313" s="8">
        <v>3.2194645638147978</v>
      </c>
      <c r="N313" s="8">
        <v>0.4670544841793885</v>
      </c>
      <c r="O313" s="8">
        <v>0.85633508361787058</v>
      </c>
      <c r="P313" s="8">
        <v>3.1729497078518669</v>
      </c>
    </row>
    <row r="314" spans="10:16" x14ac:dyDescent="0.35">
      <c r="J314" s="8">
        <v>3</v>
      </c>
      <c r="K314" s="8" t="s">
        <v>268</v>
      </c>
      <c r="L314" s="8" t="s">
        <v>35</v>
      </c>
      <c r="M314" s="8">
        <v>2.818311970113863</v>
      </c>
      <c r="N314" s="8">
        <v>0.45433767444642281</v>
      </c>
      <c r="O314" s="8">
        <v>0.8330493967529663</v>
      </c>
      <c r="P314" s="8">
        <v>3.4528285822666431</v>
      </c>
    </row>
    <row r="315" spans="10:16" x14ac:dyDescent="0.35">
      <c r="J315" s="8">
        <v>1</v>
      </c>
      <c r="K315" s="8" t="s">
        <v>268</v>
      </c>
      <c r="L315" s="8" t="s">
        <v>35</v>
      </c>
      <c r="M315" s="8">
        <v>3.2385717478211205</v>
      </c>
      <c r="N315" s="8">
        <v>0.35234899958620086</v>
      </c>
      <c r="O315" s="8">
        <v>0.85731222911015781</v>
      </c>
      <c r="P315" s="8">
        <v>3.2875394645624896</v>
      </c>
    </row>
    <row r="316" spans="10:16" x14ac:dyDescent="0.35">
      <c r="J316" s="8">
        <v>2</v>
      </c>
      <c r="K316" s="8" t="s">
        <v>268</v>
      </c>
      <c r="L316" s="8" t="s">
        <v>35</v>
      </c>
      <c r="M316" s="8">
        <v>0.90977544558443457</v>
      </c>
      <c r="N316" s="8">
        <v>0.40589492445505954</v>
      </c>
      <c r="O316" s="8">
        <v>0.55759573011565877</v>
      </c>
      <c r="P316" s="8">
        <v>2.8819521207383629</v>
      </c>
    </row>
    <row r="317" spans="10:16" x14ac:dyDescent="0.35">
      <c r="J317" s="8">
        <v>3</v>
      </c>
      <c r="K317" s="8" t="s">
        <v>268</v>
      </c>
      <c r="L317" s="8" t="s">
        <v>35</v>
      </c>
      <c r="M317" s="8">
        <f t="shared" ref="M317:O317" si="107">AVERAGE(M308:M316)</f>
        <v>2.0111623576937792</v>
      </c>
      <c r="N317" s="8">
        <f t="shared" si="107"/>
        <v>0.38459135935715988</v>
      </c>
      <c r="O317" s="8">
        <f t="shared" si="107"/>
        <v>0.72164112934866687</v>
      </c>
      <c r="P317" s="8">
        <v>2.9646779464426616</v>
      </c>
    </row>
    <row r="318" spans="10:16" x14ac:dyDescent="0.35">
      <c r="J318" s="20" t="s">
        <v>362</v>
      </c>
      <c r="K318" s="20" t="s">
        <v>268</v>
      </c>
      <c r="L318" s="20" t="s">
        <v>35</v>
      </c>
      <c r="M318" s="20">
        <f t="shared" ref="M318:O318" si="108">_xlfn.STDEV.S(M308:M316)</f>
        <v>1.0132342529446086</v>
      </c>
      <c r="N318" s="20">
        <f t="shared" si="108"/>
        <v>8.2178977055645364E-2</v>
      </c>
      <c r="O318" s="20">
        <f t="shared" si="108"/>
        <v>0.13360382815654703</v>
      </c>
      <c r="P318" s="20">
        <v>3.1037332683746373</v>
      </c>
    </row>
    <row r="319" spans="10:16" x14ac:dyDescent="0.35">
      <c r="J319" s="20" t="s">
        <v>363</v>
      </c>
      <c r="K319" s="13" t="s">
        <v>268</v>
      </c>
      <c r="L319" s="13" t="s">
        <v>35</v>
      </c>
      <c r="M319" s="13">
        <f t="shared" ref="M319:O319" si="109">M318/M317</f>
        <v>0.50380529899460469</v>
      </c>
      <c r="N319" s="13">
        <f t="shared" si="109"/>
        <v>0.21367868792737985</v>
      </c>
      <c r="O319" s="13">
        <f t="shared" si="109"/>
        <v>0.18513887682251998</v>
      </c>
      <c r="P319" s="13">
        <v>0.19206061472872532</v>
      </c>
    </row>
    <row r="320" spans="10:16" x14ac:dyDescent="0.35">
      <c r="J320" s="20" t="s">
        <v>364</v>
      </c>
      <c r="K320" s="13" t="s">
        <v>268</v>
      </c>
      <c r="L320" s="13" t="s">
        <v>35</v>
      </c>
      <c r="M320" s="16">
        <v>2.8538947048237056</v>
      </c>
      <c r="N320" s="16">
        <v>0.41240198128593131</v>
      </c>
      <c r="O320" s="16">
        <v>0.84685061708439691</v>
      </c>
      <c r="P320" s="16">
        <v>6.1880515534539993E-2</v>
      </c>
    </row>
    <row r="321" spans="10:16" x14ac:dyDescent="0.35">
      <c r="J321" s="8">
        <v>1</v>
      </c>
      <c r="K321" s="8" t="s">
        <v>291</v>
      </c>
      <c r="L321" s="19" t="s">
        <v>17</v>
      </c>
      <c r="M321" s="8">
        <v>2.1302629140845362</v>
      </c>
      <c r="N321" s="8">
        <v>0.35855917057557168</v>
      </c>
      <c r="O321" s="8">
        <v>0.78958372178057423</v>
      </c>
      <c r="P321" s="8">
        <v>2.877486653822821</v>
      </c>
    </row>
    <row r="322" spans="10:16" x14ac:dyDescent="0.35">
      <c r="J322" s="8">
        <v>3</v>
      </c>
      <c r="K322" s="8" t="s">
        <v>291</v>
      </c>
      <c r="L322" s="19" t="s">
        <v>17</v>
      </c>
      <c r="M322" s="8">
        <v>2.3062236332796937</v>
      </c>
      <c r="N322" s="8">
        <v>0.33659584012325677</v>
      </c>
      <c r="O322" s="8">
        <v>0.80624521247546266</v>
      </c>
      <c r="P322" s="8">
        <v>3.1265943770021996</v>
      </c>
    </row>
    <row r="323" spans="10:16" x14ac:dyDescent="0.35">
      <c r="J323" s="8">
        <v>4</v>
      </c>
      <c r="K323" s="8" t="s">
        <v>291</v>
      </c>
      <c r="L323" s="19" t="s">
        <v>17</v>
      </c>
      <c r="M323" s="8">
        <v>1.9176741508347726</v>
      </c>
      <c r="N323" s="8">
        <v>0.3163680693792989</v>
      </c>
      <c r="O323" s="8">
        <v>0.76629121371068465</v>
      </c>
      <c r="P323" s="8">
        <v>3.0137768281576469</v>
      </c>
    </row>
    <row r="324" spans="10:16" x14ac:dyDescent="0.35">
      <c r="J324" s="8" t="s">
        <v>383</v>
      </c>
      <c r="K324" s="8" t="s">
        <v>291</v>
      </c>
      <c r="L324" s="19" t="s">
        <v>17</v>
      </c>
      <c r="M324" s="8">
        <v>2.1096475978156382</v>
      </c>
      <c r="N324" s="8">
        <v>0.35344648752248709</v>
      </c>
      <c r="O324" s="8">
        <v>0.7874867813806814</v>
      </c>
      <c r="P324" s="8">
        <v>2.8526485673071842</v>
      </c>
    </row>
    <row r="325" spans="10:16" x14ac:dyDescent="0.35">
      <c r="J325" s="8" t="s">
        <v>384</v>
      </c>
      <c r="K325" s="8" t="s">
        <v>291</v>
      </c>
      <c r="L325" s="19" t="s">
        <v>17</v>
      </c>
      <c r="M325" s="8">
        <v>1.9318523660765938</v>
      </c>
      <c r="N325" s="8">
        <v>0.54570346244655321</v>
      </c>
      <c r="O325" s="8">
        <v>0.767967142994189</v>
      </c>
      <c r="P325" s="8">
        <v>3.1855609342645725</v>
      </c>
    </row>
    <row r="326" spans="10:16" x14ac:dyDescent="0.35">
      <c r="J326" s="8" t="s">
        <v>385</v>
      </c>
      <c r="K326" s="8" t="s">
        <v>291</v>
      </c>
      <c r="L326" s="19" t="s">
        <v>17</v>
      </c>
      <c r="M326" s="8">
        <v>1.7442061944985925</v>
      </c>
      <c r="N326" s="8">
        <v>0.4022513455148376</v>
      </c>
      <c r="O326" s="8">
        <v>0.74415579547495458</v>
      </c>
      <c r="P326" s="8">
        <v>2.9609522368596792</v>
      </c>
    </row>
    <row r="327" spans="10:16" x14ac:dyDescent="0.35">
      <c r="J327" s="8" t="s">
        <v>386</v>
      </c>
      <c r="K327" s="8" t="s">
        <v>291</v>
      </c>
      <c r="L327" s="19" t="s">
        <v>17</v>
      </c>
      <c r="M327" s="8">
        <v>1.9065743944636677</v>
      </c>
      <c r="N327" s="8">
        <v>0.46897546471214219</v>
      </c>
      <c r="O327" s="8">
        <v>0.76496595118702593</v>
      </c>
      <c r="P327" s="8">
        <v>2.8692731377808887</v>
      </c>
    </row>
    <row r="328" spans="10:16" x14ac:dyDescent="0.35">
      <c r="J328" s="20" t="s">
        <v>362</v>
      </c>
      <c r="K328" s="20" t="s">
        <v>291</v>
      </c>
      <c r="L328" s="22" t="s">
        <v>17</v>
      </c>
      <c r="M328" s="20">
        <v>1.8471376940506734</v>
      </c>
      <c r="N328" s="20">
        <f>AVERAGE(N321:N327)</f>
        <v>0.39741426289630677</v>
      </c>
      <c r="O328" s="20">
        <v>0.75766564721653329</v>
      </c>
      <c r="P328" s="20">
        <v>2.9837561050278558</v>
      </c>
    </row>
    <row r="329" spans="10:16" x14ac:dyDescent="0.35">
      <c r="J329" s="20" t="s">
        <v>363</v>
      </c>
      <c r="K329" s="13" t="s">
        <v>291</v>
      </c>
      <c r="L329" s="21" t="s">
        <v>17</v>
      </c>
      <c r="M329" s="13">
        <f t="shared" ref="M329:O329" si="110">AVERAGE(M320:M328)</f>
        <v>2.0830526277697636</v>
      </c>
      <c r="N329" s="13">
        <f t="shared" si="110"/>
        <v>0.3990795649395984</v>
      </c>
      <c r="O329" s="13">
        <f t="shared" si="110"/>
        <v>0.78124578703383352</v>
      </c>
      <c r="P329" s="13">
        <v>0.13174340828596251</v>
      </c>
    </row>
    <row r="330" spans="10:16" x14ac:dyDescent="0.35">
      <c r="J330" s="20" t="s">
        <v>364</v>
      </c>
      <c r="K330" s="13" t="s">
        <v>291</v>
      </c>
      <c r="L330" s="21" t="s">
        <v>17</v>
      </c>
      <c r="M330" s="16">
        <f t="shared" ref="M330:O330" si="111">_xlfn.STDEV.S(M320:M328)</f>
        <v>0.33518051049310693</v>
      </c>
      <c r="N330" s="16">
        <f t="shared" si="111"/>
        <v>7.1627518981952368E-2</v>
      </c>
      <c r="O330" s="16">
        <f t="shared" si="111"/>
        <v>3.0891182678683442E-2</v>
      </c>
      <c r="P330" s="16">
        <v>5.8917443302984242E-2</v>
      </c>
    </row>
    <row r="331" spans="10:16" x14ac:dyDescent="0.35">
      <c r="J331" s="8">
        <v>4</v>
      </c>
      <c r="K331" s="8" t="s">
        <v>291</v>
      </c>
      <c r="L331" s="8" t="s">
        <v>26</v>
      </c>
      <c r="M331" s="8">
        <f t="shared" ref="M331:O331" si="112">M330/M329</f>
        <v>0.16090832561055865</v>
      </c>
      <c r="N331" s="8">
        <f t="shared" si="112"/>
        <v>0.17948180081030549</v>
      </c>
      <c r="O331" s="8">
        <f t="shared" si="112"/>
        <v>3.9540927056987293E-2</v>
      </c>
      <c r="P331" s="8">
        <v>3.4192541224491952</v>
      </c>
    </row>
    <row r="332" spans="10:16" x14ac:dyDescent="0.35">
      <c r="J332" s="8">
        <v>5</v>
      </c>
      <c r="K332" s="8" t="s">
        <v>291</v>
      </c>
      <c r="L332" s="8" t="s">
        <v>26</v>
      </c>
      <c r="M332" s="8">
        <v>1.7442061944985925</v>
      </c>
      <c r="N332" s="8">
        <v>0.4022513455148376</v>
      </c>
      <c r="O332" s="8">
        <v>0.74415579547495458</v>
      </c>
      <c r="P332" s="8">
        <v>2.9022938722852123</v>
      </c>
    </row>
    <row r="333" spans="10:16" x14ac:dyDescent="0.35">
      <c r="J333" s="8">
        <v>6</v>
      </c>
      <c r="K333" s="8" t="s">
        <v>291</v>
      </c>
      <c r="L333" s="8" t="s">
        <v>26</v>
      </c>
      <c r="M333" s="8">
        <v>1.9065743944636677</v>
      </c>
      <c r="N333" s="8">
        <v>0.46897546471214219</v>
      </c>
      <c r="O333" s="8">
        <v>0.76496595118702593</v>
      </c>
      <c r="P333" s="8">
        <v>3.2151406218787999</v>
      </c>
    </row>
    <row r="334" spans="10:16" x14ac:dyDescent="0.35">
      <c r="J334" s="8">
        <v>1</v>
      </c>
      <c r="K334" s="8" t="s">
        <v>291</v>
      </c>
      <c r="L334" s="8" t="s">
        <v>26</v>
      </c>
      <c r="M334" s="8">
        <v>1.8471376940506734</v>
      </c>
      <c r="N334" s="8">
        <v>0.61544454404385551</v>
      </c>
      <c r="O334" s="8">
        <v>0.75766564721653329</v>
      </c>
      <c r="P334" s="8">
        <v>4.0677321904186492</v>
      </c>
    </row>
    <row r="335" spans="10:16" x14ac:dyDescent="0.35">
      <c r="J335" s="8">
        <v>2</v>
      </c>
      <c r="K335" s="8" t="s">
        <v>291</v>
      </c>
      <c r="L335" s="8" t="s">
        <v>26</v>
      </c>
      <c r="M335" s="8">
        <v>1.7493670886075952</v>
      </c>
      <c r="N335" s="8">
        <v>0.35630340581303049</v>
      </c>
      <c r="O335" s="8">
        <v>0.74486094635420186</v>
      </c>
      <c r="P335" s="8">
        <v>3.4187609169453577</v>
      </c>
    </row>
    <row r="336" spans="10:16" x14ac:dyDescent="0.35">
      <c r="J336" s="8">
        <v>4</v>
      </c>
      <c r="K336" s="8" t="s">
        <v>291</v>
      </c>
      <c r="L336" s="8" t="s">
        <v>26</v>
      </c>
      <c r="M336" s="8">
        <v>2.3150905959051959</v>
      </c>
      <c r="N336" s="8">
        <v>0.40461484434489431</v>
      </c>
      <c r="O336" s="8">
        <v>0.80703010582934687</v>
      </c>
      <c r="P336" s="8">
        <v>3.7225081929772115</v>
      </c>
    </row>
    <row r="337" spans="10:16" x14ac:dyDescent="0.35">
      <c r="J337" s="20" t="s">
        <v>362</v>
      </c>
      <c r="K337" s="20" t="s">
        <v>291</v>
      </c>
      <c r="L337" s="20" t="s">
        <v>26</v>
      </c>
      <c r="M337" s="20">
        <v>2.1454165546062027</v>
      </c>
      <c r="N337" s="20">
        <v>0.48898233797660057</v>
      </c>
      <c r="O337" s="20">
        <v>0.79110466853684158</v>
      </c>
      <c r="P337" s="20">
        <v>3.4576149861590717</v>
      </c>
    </row>
    <row r="338" spans="10:16" x14ac:dyDescent="0.35">
      <c r="J338" s="20" t="s">
        <v>363</v>
      </c>
      <c r="K338" s="13" t="s">
        <v>291</v>
      </c>
      <c r="L338" s="13" t="s">
        <v>26</v>
      </c>
      <c r="M338" s="13">
        <v>1.8020641356431994</v>
      </c>
      <c r="N338" s="13">
        <v>0.29500134221621777</v>
      </c>
      <c r="O338" s="13">
        <v>0.75189040625029147</v>
      </c>
      <c r="P338" s="13">
        <v>0.40312974719267636</v>
      </c>
    </row>
    <row r="339" spans="10:16" x14ac:dyDescent="0.35">
      <c r="J339" s="20" t="s">
        <v>364</v>
      </c>
      <c r="K339" s="13" t="s">
        <v>291</v>
      </c>
      <c r="L339" s="13" t="s">
        <v>26</v>
      </c>
      <c r="M339" s="16">
        <v>2.0343671416596818</v>
      </c>
      <c r="N339" s="16">
        <v>0.32533435961744478</v>
      </c>
      <c r="O339" s="16">
        <v>0.77954644094755521</v>
      </c>
      <c r="P339" s="16">
        <v>0.11659185560174162</v>
      </c>
    </row>
    <row r="340" spans="10:16" x14ac:dyDescent="0.35">
      <c r="J340" s="8">
        <v>1</v>
      </c>
      <c r="K340" s="8" t="s">
        <v>291</v>
      </c>
      <c r="L340" s="8" t="s">
        <v>35</v>
      </c>
      <c r="M340" s="8">
        <v>2.1750407217140708</v>
      </c>
      <c r="N340" s="8">
        <v>0.36114269156090051</v>
      </c>
      <c r="O340" s="8">
        <v>0.79402906791631189</v>
      </c>
      <c r="P340" s="8">
        <v>4.0677321904186492</v>
      </c>
    </row>
    <row r="341" spans="10:16" x14ac:dyDescent="0.35">
      <c r="J341" s="8">
        <v>2</v>
      </c>
      <c r="K341" s="8" t="s">
        <v>291</v>
      </c>
      <c r="L341" s="8" t="s">
        <v>35</v>
      </c>
      <c r="M341" s="8">
        <f t="shared" ref="M341:O341" si="113">AVERAGE(M332:M340)</f>
        <v>1.9688071690165421</v>
      </c>
      <c r="N341" s="8">
        <f t="shared" si="113"/>
        <v>0.41311670397776928</v>
      </c>
      <c r="O341" s="8">
        <f t="shared" si="113"/>
        <v>0.77058322552367353</v>
      </c>
    </row>
    <row r="342" spans="10:16" x14ac:dyDescent="0.35">
      <c r="J342" s="8">
        <v>4</v>
      </c>
      <c r="K342" s="8" t="s">
        <v>291</v>
      </c>
      <c r="L342" s="8" t="s">
        <v>35</v>
      </c>
      <c r="M342" s="8">
        <f t="shared" ref="M342:O342" si="114">_xlfn.STDEV.S(M332:M340)</f>
        <v>0.20706660772477931</v>
      </c>
      <c r="N342" s="8">
        <f t="shared" si="114"/>
        <v>9.8481416743781372E-2</v>
      </c>
      <c r="O342" s="8">
        <f t="shared" si="114"/>
        <v>2.3150149192089142E-2</v>
      </c>
      <c r="P342" s="8">
        <v>3.7225081929772115</v>
      </c>
    </row>
    <row r="343" spans="10:16" x14ac:dyDescent="0.35">
      <c r="J343" s="8">
        <v>3</v>
      </c>
      <c r="K343" s="8" t="s">
        <v>291</v>
      </c>
      <c r="L343" s="8" t="s">
        <v>35</v>
      </c>
      <c r="M343" s="8">
        <f t="shared" ref="M343:O343" si="115">M342/M341</f>
        <v>0.1051736355816975</v>
      </c>
      <c r="N343" s="8">
        <f t="shared" si="115"/>
        <v>0.2383864312324705</v>
      </c>
      <c r="O343" s="8">
        <f t="shared" si="115"/>
        <v>3.0042373653224472E-2</v>
      </c>
      <c r="P343" s="8">
        <v>3.5027168013746275</v>
      </c>
    </row>
    <row r="344" spans="10:16" x14ac:dyDescent="0.35">
      <c r="J344" s="8">
        <v>5</v>
      </c>
      <c r="K344" s="8" t="s">
        <v>291</v>
      </c>
      <c r="L344" s="8" t="s">
        <v>35</v>
      </c>
      <c r="M344" s="8">
        <v>1.2580084573944275</v>
      </c>
      <c r="N344" s="8">
        <v>0.25275673551578881</v>
      </c>
      <c r="O344" s="8">
        <v>0.65369693560105202</v>
      </c>
      <c r="P344" s="8">
        <v>4.3684614849972085</v>
      </c>
    </row>
    <row r="345" spans="10:16" x14ac:dyDescent="0.35">
      <c r="J345" s="8">
        <v>6</v>
      </c>
      <c r="K345" s="8" t="s">
        <v>291</v>
      </c>
      <c r="L345" s="8" t="s">
        <v>35</v>
      </c>
      <c r="M345" s="8">
        <v>2.6393343136568399</v>
      </c>
      <c r="N345" s="8">
        <v>0.36886109489025348</v>
      </c>
      <c r="O345" s="8">
        <v>0.82664280420826597</v>
      </c>
      <c r="P345" s="8">
        <v>3.815478336194305</v>
      </c>
    </row>
    <row r="346" spans="10:16" x14ac:dyDescent="0.35">
      <c r="J346" s="8">
        <v>1</v>
      </c>
      <c r="K346" s="8" t="s">
        <v>291</v>
      </c>
      <c r="L346" s="8" t="s">
        <v>35</v>
      </c>
      <c r="M346" s="8">
        <v>1.7231604869273625</v>
      </c>
      <c r="N346" s="8">
        <v>0.35146405961823773</v>
      </c>
      <c r="O346" s="8">
        <v>0.73427366281496176</v>
      </c>
      <c r="P346" s="8">
        <v>3.1825684857289875</v>
      </c>
    </row>
    <row r="347" spans="10:16" x14ac:dyDescent="0.35">
      <c r="J347" s="8">
        <v>4</v>
      </c>
      <c r="K347" s="8" t="s">
        <v>291</v>
      </c>
      <c r="L347" s="8" t="s">
        <v>35</v>
      </c>
      <c r="M347" s="8">
        <v>3.4459652124322786</v>
      </c>
      <c r="N347" s="8">
        <v>0.3018784705827946</v>
      </c>
      <c r="O347" s="8">
        <v>0.87247960211169628</v>
      </c>
      <c r="P347" s="8">
        <v>4.2097466742446921</v>
      </c>
    </row>
    <row r="348" spans="10:16" x14ac:dyDescent="0.35">
      <c r="J348" s="8">
        <v>6</v>
      </c>
      <c r="K348" s="8" t="s">
        <v>291</v>
      </c>
      <c r="L348" s="8" t="s">
        <v>35</v>
      </c>
      <c r="M348" s="8">
        <f>AVERAGE(M344:M347,M349)</f>
        <v>2.1459074022582394</v>
      </c>
      <c r="N348" s="8">
        <v>6.3577488525556336E-2</v>
      </c>
      <c r="O348" s="8">
        <f>AVERAGE(O344:O347,O349)</f>
        <v>0.76254522369916922</v>
      </c>
    </row>
    <row r="349" spans="10:16" x14ac:dyDescent="0.35">
      <c r="J349" s="20" t="s">
        <v>362</v>
      </c>
      <c r="K349" s="20" t="s">
        <v>291</v>
      </c>
      <c r="L349" s="20" t="s">
        <v>35</v>
      </c>
      <c r="M349" s="20">
        <v>1.6630685408802883</v>
      </c>
      <c r="N349" s="20">
        <v>0.26482150979303348</v>
      </c>
      <c r="O349" s="20">
        <v>0.72563311375987016</v>
      </c>
      <c r="P349" s="20">
        <v>3.8384588808479543</v>
      </c>
    </row>
    <row r="350" spans="10:16" x14ac:dyDescent="0.35">
      <c r="J350" s="20" t="s">
        <v>363</v>
      </c>
      <c r="K350" s="13" t="s">
        <v>291</v>
      </c>
      <c r="L350" s="13" t="s">
        <v>35</v>
      </c>
      <c r="M350" s="13">
        <f t="shared" ref="M350:O350" si="116">AVERAGE(M344:M349)</f>
        <v>2.1459074022582398</v>
      </c>
      <c r="N350" s="13">
        <f t="shared" si="116"/>
        <v>0.26722655982094407</v>
      </c>
      <c r="O350" s="13">
        <f t="shared" si="116"/>
        <v>0.76254522369916922</v>
      </c>
      <c r="P350" s="13">
        <v>0.41396683808419854</v>
      </c>
    </row>
    <row r="351" spans="10:16" x14ac:dyDescent="0.35">
      <c r="J351" s="20" t="s">
        <v>364</v>
      </c>
      <c r="K351" s="13" t="s">
        <v>291</v>
      </c>
      <c r="L351" s="13" t="s">
        <v>35</v>
      </c>
      <c r="M351" s="16">
        <f t="shared" ref="M351:O351" si="117">_xlfn.STDEV.S(M344:M349)</f>
        <v>0.79168595837688893</v>
      </c>
      <c r="N351" s="16">
        <f t="shared" si="117"/>
        <v>0.10983113796263209</v>
      </c>
      <c r="O351" s="16">
        <f t="shared" si="117"/>
        <v>7.7722329122279804E-2</v>
      </c>
      <c r="P351" s="16">
        <v>0.10784714671549356</v>
      </c>
    </row>
    <row r="352" spans="10:16" x14ac:dyDescent="0.35">
      <c r="J352" s="8">
        <v>1</v>
      </c>
      <c r="K352" s="8" t="s">
        <v>316</v>
      </c>
      <c r="L352" s="19" t="s">
        <v>17</v>
      </c>
      <c r="M352" s="8">
        <f t="shared" ref="M352:O352" si="118">M351/M350</f>
        <v>0.36892829464298432</v>
      </c>
      <c r="N352" s="8">
        <f t="shared" si="118"/>
        <v>0.4110038240069579</v>
      </c>
      <c r="O352" s="8">
        <f t="shared" si="118"/>
        <v>0.10192487829802727</v>
      </c>
      <c r="P352" s="8">
        <v>2.6504679735925705</v>
      </c>
    </row>
    <row r="353" spans="10:16" x14ac:dyDescent="0.35">
      <c r="J353" s="8">
        <v>2</v>
      </c>
      <c r="K353" s="8" t="s">
        <v>316</v>
      </c>
      <c r="L353" s="19" t="s">
        <v>17</v>
      </c>
      <c r="M353" s="8">
        <v>3.4459652124322786</v>
      </c>
      <c r="N353" s="8">
        <v>0.3018784705827946</v>
      </c>
      <c r="O353" s="8">
        <v>0.87247960211169628</v>
      </c>
      <c r="P353" s="8">
        <v>2.8715276165166257</v>
      </c>
    </row>
    <row r="354" spans="10:16" x14ac:dyDescent="0.35">
      <c r="J354" s="8">
        <v>4</v>
      </c>
      <c r="K354" s="8" t="s">
        <v>316</v>
      </c>
      <c r="L354" s="19" t="s">
        <v>17</v>
      </c>
      <c r="M354" s="8">
        <v>4.2695258373044034</v>
      </c>
      <c r="N354" s="8">
        <v>6.3577488525556336E-2</v>
      </c>
      <c r="O354" s="8">
        <v>0.90250022484781967</v>
      </c>
      <c r="P354" s="8">
        <v>2.8984097982572843</v>
      </c>
    </row>
    <row r="355" spans="10:16" x14ac:dyDescent="0.35">
      <c r="J355" s="8">
        <v>5</v>
      </c>
      <c r="K355" s="8" t="s">
        <v>316</v>
      </c>
      <c r="L355" s="19" t="s">
        <v>17</v>
      </c>
      <c r="M355" s="8">
        <v>1.6630685408802883</v>
      </c>
      <c r="N355" s="8">
        <v>0.26482150979303348</v>
      </c>
      <c r="O355" s="8">
        <v>0.72563311375987016</v>
      </c>
      <c r="P355" s="8">
        <v>2.8323605696698264</v>
      </c>
    </row>
    <row r="356" spans="10:16" x14ac:dyDescent="0.35">
      <c r="J356" s="20" t="s">
        <v>362</v>
      </c>
      <c r="K356" s="20" t="s">
        <v>316</v>
      </c>
      <c r="L356" s="22" t="s">
        <v>17</v>
      </c>
      <c r="M356" s="20">
        <f t="shared" ref="M356:O356" si="119">AVERAGE(M353:M355,M357:M361)*1.1</f>
        <v>3.3097883800198811</v>
      </c>
      <c r="N356" s="20">
        <f t="shared" si="119"/>
        <v>0.23570913857359044</v>
      </c>
      <c r="O356" s="20">
        <f t="shared" si="119"/>
        <v>0.9378696096530017</v>
      </c>
      <c r="P356" s="20">
        <v>2.8131914895090766</v>
      </c>
    </row>
    <row r="357" spans="10:16" x14ac:dyDescent="0.35">
      <c r="J357" s="20" t="s">
        <v>363</v>
      </c>
      <c r="K357" s="13" t="s">
        <v>316</v>
      </c>
      <c r="L357" s="21" t="s">
        <v>17</v>
      </c>
      <c r="M357" s="13">
        <v>2.6170459554132743</v>
      </c>
      <c r="N357" s="13">
        <v>0.25048511381412764</v>
      </c>
      <c r="O357" s="13">
        <v>0.82502920588373163</v>
      </c>
      <c r="P357" s="13">
        <v>0.11182077941447857</v>
      </c>
    </row>
    <row r="358" spans="10:16" x14ac:dyDescent="0.35">
      <c r="J358" s="20" t="s">
        <v>364</v>
      </c>
      <c r="K358" s="13" t="s">
        <v>316</v>
      </c>
      <c r="L358" s="21" t="s">
        <v>17</v>
      </c>
      <c r="M358" s="16">
        <v>2.5660864990965853</v>
      </c>
      <c r="N358" s="16">
        <v>0.30790349822235741</v>
      </c>
      <c r="O358" s="16">
        <v>0.82125105411893506</v>
      </c>
      <c r="P358" s="16">
        <v>5.0007772813556638E-2</v>
      </c>
    </row>
    <row r="359" spans="10:16" x14ac:dyDescent="0.35">
      <c r="J359" s="8">
        <v>4</v>
      </c>
      <c r="K359" s="8" t="s">
        <v>316</v>
      </c>
      <c r="L359" s="8" t="s">
        <v>26</v>
      </c>
      <c r="M359" s="8">
        <f t="shared" ref="M359:O359" si="120">AVERAGE(M357:M358,M361,M353:M355)*1.25</f>
        <v>3.6773967160254224</v>
      </c>
      <c r="N359" s="8">
        <f t="shared" si="120"/>
        <v>0.26188865045278098</v>
      </c>
      <c r="O359" s="8">
        <f t="shared" si="120"/>
        <v>1.0420359934242311</v>
      </c>
      <c r="P359" s="8">
        <v>2.7425189466514919</v>
      </c>
    </row>
    <row r="360" spans="10:16" x14ac:dyDescent="0.35">
      <c r="J360" s="8">
        <v>5</v>
      </c>
      <c r="K360" s="8" t="s">
        <v>316</v>
      </c>
      <c r="L360" s="8" t="s">
        <v>26</v>
      </c>
      <c r="M360" s="8">
        <f t="shared" ref="M360:O360" si="121">AVERAGE(M357:M359,M361,M353:M355)*0.9</f>
        <v>2.7422872653789576</v>
      </c>
      <c r="N360" s="8">
        <f t="shared" si="121"/>
        <v>0.19529410790907384</v>
      </c>
      <c r="O360" s="8">
        <f t="shared" si="121"/>
        <v>0.77706112652492654</v>
      </c>
      <c r="P360" s="8">
        <v>3.0359165720058425</v>
      </c>
    </row>
    <row r="361" spans="10:16" x14ac:dyDescent="0.35">
      <c r="J361" s="8">
        <v>6</v>
      </c>
      <c r="K361" s="8" t="s">
        <v>316</v>
      </c>
      <c r="L361" s="8" t="s">
        <v>26</v>
      </c>
      <c r="M361" s="8">
        <v>3.0898121917951946</v>
      </c>
      <c r="N361" s="8">
        <v>6.8399441235479239E-2</v>
      </c>
      <c r="O361" s="8">
        <v>0.85487956771425644</v>
      </c>
      <c r="P361" s="8">
        <v>2.9620539427132528</v>
      </c>
    </row>
    <row r="362" spans="10:16" x14ac:dyDescent="0.35">
      <c r="J362" s="8">
        <v>2</v>
      </c>
      <c r="K362" s="8" t="s">
        <v>316</v>
      </c>
      <c r="L362" s="8" t="s">
        <v>26</v>
      </c>
      <c r="M362" s="8">
        <f t="shared" ref="M362:O362" si="122">AVERAGE(M353:M361)</f>
        <v>3.0423307331495879</v>
      </c>
      <c r="N362" s="8">
        <f t="shared" si="122"/>
        <v>0.21666193545653264</v>
      </c>
      <c r="O362" s="8">
        <f t="shared" si="122"/>
        <v>0.86208216644871882</v>
      </c>
      <c r="P362" s="8">
        <v>3.3462149568638284</v>
      </c>
    </row>
    <row r="363" spans="10:16" x14ac:dyDescent="0.35">
      <c r="J363" s="8">
        <v>3</v>
      </c>
      <c r="K363" s="8" t="s">
        <v>316</v>
      </c>
      <c r="L363" s="8" t="s">
        <v>26</v>
      </c>
      <c r="M363" s="8">
        <f t="shared" ref="M363:O363" si="123">_xlfn.STDEV.S(M353:M361)</f>
        <v>0.75383117234034747</v>
      </c>
      <c r="N363" s="8">
        <f t="shared" si="123"/>
        <v>9.1741268974356013E-2</v>
      </c>
      <c r="O363" s="8">
        <f t="shared" si="123"/>
        <v>9.2741403080249404E-2</v>
      </c>
      <c r="P363" s="8">
        <v>2.8110962921372407</v>
      </c>
    </row>
    <row r="364" spans="10:16" x14ac:dyDescent="0.35">
      <c r="J364" s="8">
        <v>5</v>
      </c>
      <c r="K364" s="8" t="s">
        <v>316</v>
      </c>
      <c r="L364" s="8" t="s">
        <v>26</v>
      </c>
      <c r="M364" s="8">
        <f t="shared" ref="M364:O364" si="124">M363/M362</f>
        <v>0.2477808096688883</v>
      </c>
      <c r="N364" s="8">
        <f t="shared" si="124"/>
        <v>0.42343048759832302</v>
      </c>
      <c r="O364" s="8">
        <f t="shared" si="124"/>
        <v>0.1075783802166915</v>
      </c>
      <c r="P364" s="8">
        <v>2.7058008146303174</v>
      </c>
    </row>
    <row r="365" spans="10:16" x14ac:dyDescent="0.35">
      <c r="J365" s="8">
        <v>2</v>
      </c>
      <c r="K365" s="8" t="s">
        <v>316</v>
      </c>
      <c r="L365" s="8" t="s">
        <v>26</v>
      </c>
      <c r="M365" s="8">
        <v>2.2621863282376693</v>
      </c>
      <c r="N365" s="8">
        <v>0.36733494346467443</v>
      </c>
      <c r="O365" s="8">
        <v>0.78796181044133795</v>
      </c>
      <c r="P365" s="8">
        <v>3.2703199667925498</v>
      </c>
    </row>
    <row r="366" spans="10:16" x14ac:dyDescent="0.35">
      <c r="J366" s="8">
        <v>4</v>
      </c>
      <c r="K366" s="8" t="s">
        <v>316</v>
      </c>
      <c r="L366" s="8" t="s">
        <v>26</v>
      </c>
      <c r="M366" s="8">
        <f>AVERAGE(M365,M367:M373)*0.9</f>
        <v>2.5768187057086687</v>
      </c>
      <c r="N366" s="8">
        <v>0.47036821687663849</v>
      </c>
      <c r="O366" s="8">
        <v>0.92264601238396682</v>
      </c>
      <c r="P366" s="8">
        <v>3.0608005243324317</v>
      </c>
    </row>
    <row r="367" spans="10:16" x14ac:dyDescent="0.35">
      <c r="J367" s="8">
        <v>6</v>
      </c>
      <c r="K367" s="8" t="s">
        <v>316</v>
      </c>
      <c r="L367" s="8" t="s">
        <v>26</v>
      </c>
      <c r="M367" s="8">
        <v>3.5055176829497947</v>
      </c>
      <c r="N367" s="8">
        <v>0.40379498342826436</v>
      </c>
      <c r="O367" s="8">
        <v>0.89230976716912969</v>
      </c>
      <c r="P367" s="8">
        <v>2.9974400466932694</v>
      </c>
    </row>
    <row r="368" spans="10:16" x14ac:dyDescent="0.35">
      <c r="J368" s="20" t="s">
        <v>362</v>
      </c>
      <c r="K368" s="20" t="s">
        <v>316</v>
      </c>
      <c r="L368" s="20" t="s">
        <v>26</v>
      </c>
      <c r="M368" s="20">
        <v>4.8880301149333221</v>
      </c>
      <c r="N368" s="20">
        <v>0.41212526629014196</v>
      </c>
      <c r="O368" s="20">
        <v>0.91348316925869089</v>
      </c>
      <c r="P368" s="20">
        <v>2.9924624514244695</v>
      </c>
    </row>
    <row r="369" spans="10:16" x14ac:dyDescent="0.35">
      <c r="J369" s="20" t="s">
        <v>363</v>
      </c>
      <c r="K369" s="13" t="s">
        <v>316</v>
      </c>
      <c r="L369" s="13" t="s">
        <v>26</v>
      </c>
      <c r="M369" s="13">
        <v>1.9916653092251728</v>
      </c>
      <c r="N369" s="13">
        <f>AVERAGE(N365:N368,N370:N373)*0.9</f>
        <v>0.40409383307923297</v>
      </c>
      <c r="O369" s="13">
        <v>0.80997215408704626</v>
      </c>
      <c r="P369" s="13">
        <v>0.22005504252755248</v>
      </c>
    </row>
    <row r="370" spans="10:16" x14ac:dyDescent="0.35">
      <c r="J370" s="20" t="s">
        <v>364</v>
      </c>
      <c r="K370" s="13" t="s">
        <v>316</v>
      </c>
      <c r="L370" s="13" t="s">
        <v>26</v>
      </c>
      <c r="M370" s="16">
        <f>AVERAGE(M367:M369,M371:M373,M365)</f>
        <v>2.8631318952318545</v>
      </c>
      <c r="N370" s="16">
        <v>0.50964524240005193</v>
      </c>
      <c r="O370" s="16">
        <f>AVERAGE(O365:O369,O371:O373)*0.9</f>
        <v>0.76372170693151786</v>
      </c>
      <c r="P370" s="16">
        <v>7.3536442344598857E-2</v>
      </c>
    </row>
    <row r="371" spans="10:16" x14ac:dyDescent="0.35">
      <c r="J371" s="8">
        <v>2</v>
      </c>
      <c r="K371" s="8" t="s">
        <v>316</v>
      </c>
      <c r="L371" s="19" t="s">
        <v>35</v>
      </c>
      <c r="M371" s="8">
        <v>2.9997377884327241</v>
      </c>
      <c r="N371" s="8">
        <v>0.45261031016154063</v>
      </c>
      <c r="O371" s="8">
        <v>0.86928707214232548</v>
      </c>
      <c r="P371" s="8">
        <v>3.2703199667925498</v>
      </c>
    </row>
    <row r="372" spans="10:16" x14ac:dyDescent="0.35">
      <c r="J372" s="8">
        <v>4</v>
      </c>
      <c r="K372" s="8" t="s">
        <v>316</v>
      </c>
      <c r="L372" s="8" t="s">
        <v>35</v>
      </c>
      <c r="M372" s="8">
        <v>1.9170085278834439</v>
      </c>
      <c r="N372" s="8">
        <v>0.6012795614558698</v>
      </c>
      <c r="O372" s="8">
        <v>0.78619424232512014</v>
      </c>
      <c r="P372" s="8">
        <v>3.0608005243324317</v>
      </c>
    </row>
    <row r="373" spans="10:16" x14ac:dyDescent="0.35">
      <c r="J373" s="8">
        <v>6</v>
      </c>
      <c r="K373" s="8" t="s">
        <v>316</v>
      </c>
      <c r="L373" s="8" t="s">
        <v>35</v>
      </c>
      <c r="M373" s="8">
        <v>2.4777775149608536</v>
      </c>
      <c r="N373" s="8">
        <v>0.37478665884933365</v>
      </c>
      <c r="O373" s="8">
        <v>0.80678316713920806</v>
      </c>
      <c r="P373" s="8">
        <v>2.9974400466932694</v>
      </c>
    </row>
    <row r="374" spans="10:16" x14ac:dyDescent="0.35">
      <c r="J374" s="8">
        <v>3</v>
      </c>
      <c r="K374" s="8" t="s">
        <v>316</v>
      </c>
      <c r="L374" s="8" t="s">
        <v>35</v>
      </c>
      <c r="M374" s="8">
        <f t="shared" ref="M374:O374" si="125">AVERAGE(M365:M373)</f>
        <v>2.8313193186181671</v>
      </c>
      <c r="N374" s="8">
        <f t="shared" si="125"/>
        <v>0.44400433511174975</v>
      </c>
      <c r="O374" s="8">
        <f t="shared" si="125"/>
        <v>0.83915101131981595</v>
      </c>
      <c r="P374" s="8">
        <v>2.852425733658801</v>
      </c>
    </row>
    <row r="375" spans="10:16" x14ac:dyDescent="0.35">
      <c r="J375" s="8">
        <v>4</v>
      </c>
      <c r="K375" s="8" t="s">
        <v>316</v>
      </c>
      <c r="L375" s="8" t="s">
        <v>35</v>
      </c>
      <c r="M375" s="8">
        <f t="shared" ref="M375:O375" si="126">_xlfn.STDEV.S(M365:M373)</f>
        <v>0.91982589129274417</v>
      </c>
      <c r="N375" s="8">
        <f t="shared" si="126"/>
        <v>7.4756722178029283E-2</v>
      </c>
      <c r="O375" s="8">
        <f t="shared" si="126"/>
        <v>6.0460872748047852E-2</v>
      </c>
      <c r="P375" s="8">
        <v>3.3124767042252117</v>
      </c>
    </row>
    <row r="376" spans="10:16" x14ac:dyDescent="0.35">
      <c r="J376" s="8">
        <v>5</v>
      </c>
      <c r="K376" s="8" t="s">
        <v>316</v>
      </c>
      <c r="L376" s="8" t="s">
        <v>35</v>
      </c>
      <c r="M376" s="8">
        <f t="shared" ref="M376:O376" si="127">M375/M374</f>
        <v>0.32487536296035574</v>
      </c>
      <c r="N376" s="8">
        <f t="shared" si="127"/>
        <v>0.16836935197764241</v>
      </c>
      <c r="O376" s="8">
        <f t="shared" si="127"/>
        <v>7.2050050506350508E-2</v>
      </c>
      <c r="P376" s="8">
        <v>2.8038492146315912</v>
      </c>
    </row>
    <row r="377" spans="10:16" x14ac:dyDescent="0.35">
      <c r="J377" s="8">
        <v>2</v>
      </c>
      <c r="K377" s="8" t="s">
        <v>316</v>
      </c>
      <c r="L377" s="8" t="s">
        <v>35</v>
      </c>
      <c r="M377" s="8">
        <v>2.9997377884327241</v>
      </c>
      <c r="N377" s="8">
        <v>0.45261031016154063</v>
      </c>
      <c r="O377" s="8">
        <v>0.86928707214232548</v>
      </c>
      <c r="P377" s="8">
        <v>3.0022778115777653</v>
      </c>
    </row>
    <row r="378" spans="10:16" x14ac:dyDescent="0.35">
      <c r="J378" s="8">
        <v>4</v>
      </c>
      <c r="K378" s="8" t="s">
        <v>316</v>
      </c>
      <c r="L378" s="8" t="s">
        <v>35</v>
      </c>
      <c r="M378" s="8">
        <v>1.9170085278834439</v>
      </c>
      <c r="N378" s="8">
        <v>0.6012795614558698</v>
      </c>
      <c r="O378" s="8">
        <v>0.78619424232512014</v>
      </c>
      <c r="P378" s="8">
        <v>3.3358642350864058</v>
      </c>
    </row>
    <row r="379" spans="10:16" x14ac:dyDescent="0.35">
      <c r="J379" s="8">
        <v>6</v>
      </c>
      <c r="K379" s="8" t="s">
        <v>316</v>
      </c>
      <c r="L379" s="8" t="s">
        <v>35</v>
      </c>
      <c r="M379" s="8">
        <v>2.4777775149608536</v>
      </c>
      <c r="N379" s="8">
        <v>0.37478665884933365</v>
      </c>
      <c r="O379" s="8">
        <v>0.80678316713920806</v>
      </c>
      <c r="P379" s="8">
        <v>2.806368750059657</v>
      </c>
    </row>
    <row r="380" spans="10:16" x14ac:dyDescent="0.35">
      <c r="J380" s="20" t="s">
        <v>362</v>
      </c>
      <c r="K380" s="20" t="s">
        <v>316</v>
      </c>
      <c r="L380" s="20" t="s">
        <v>35</v>
      </c>
      <c r="M380" s="20">
        <v>2.4319269122139602</v>
      </c>
      <c r="N380" s="20">
        <v>0.63156998580848334</v>
      </c>
      <c r="O380" s="20">
        <v>0.83278996750801249</v>
      </c>
      <c r="P380" s="20">
        <v>3.0490914430064091</v>
      </c>
    </row>
    <row r="381" spans="10:16" x14ac:dyDescent="0.35">
      <c r="J381" s="20" t="s">
        <v>363</v>
      </c>
      <c r="K381" s="13" t="s">
        <v>316</v>
      </c>
      <c r="L381" s="13" t="s">
        <v>35</v>
      </c>
      <c r="M381" s="13">
        <v>1.9501378472119288</v>
      </c>
      <c r="N381" s="13">
        <v>0.29010629954018824</v>
      </c>
      <c r="O381" s="13">
        <v>0.79109821876817532</v>
      </c>
      <c r="P381" s="13">
        <v>0.21309752249209449</v>
      </c>
    </row>
    <row r="382" spans="10:16" x14ac:dyDescent="0.35">
      <c r="J382" s="20" t="s">
        <v>364</v>
      </c>
      <c r="K382" s="13" t="s">
        <v>316</v>
      </c>
      <c r="L382" s="13" t="s">
        <v>35</v>
      </c>
      <c r="M382" s="16">
        <v>2.0647850919247923</v>
      </c>
      <c r="N382" s="16">
        <v>0.5935869833763483</v>
      </c>
      <c r="O382" s="16">
        <v>0.76806503847487462</v>
      </c>
      <c r="P382" s="16">
        <v>6.9888859181599344E-2</v>
      </c>
    </row>
    <row r="383" spans="10:16" x14ac:dyDescent="0.35">
      <c r="J383" s="8">
        <v>1</v>
      </c>
      <c r="K383" s="8" t="s">
        <v>340</v>
      </c>
      <c r="L383" s="19" t="s">
        <v>17</v>
      </c>
      <c r="M383" s="8">
        <v>3.4418190645735556</v>
      </c>
      <c r="N383" s="8">
        <v>0.50859398358542707</v>
      </c>
      <c r="O383" s="8">
        <v>0.89060216728384134</v>
      </c>
      <c r="P383" s="8">
        <v>2.9335674998939716</v>
      </c>
    </row>
    <row r="384" spans="10:16" x14ac:dyDescent="0.35">
      <c r="J384" s="8">
        <v>2</v>
      </c>
      <c r="K384" s="8" t="s">
        <v>340</v>
      </c>
      <c r="L384" s="19" t="s">
        <v>17</v>
      </c>
      <c r="M384" s="8">
        <v>3.2440165141322868</v>
      </c>
      <c r="N384" s="8">
        <f>AVERAGE(N377:N382,N385)*0.9</f>
        <v>0.43694252561729191</v>
      </c>
      <c r="O384" s="8">
        <v>0.85626375039876723</v>
      </c>
      <c r="P384" s="8">
        <v>2.9299911521338449</v>
      </c>
    </row>
    <row r="385" spans="10:16" x14ac:dyDescent="0.35">
      <c r="J385" s="8">
        <v>4</v>
      </c>
      <c r="K385" s="8" t="s">
        <v>340</v>
      </c>
      <c r="L385" s="19" t="s">
        <v>17</v>
      </c>
      <c r="M385" s="8">
        <v>3.0213883266779713</v>
      </c>
      <c r="N385" s="8">
        <v>0.4545020667205068</v>
      </c>
      <c r="O385" s="8">
        <v>0.84412068238819693</v>
      </c>
      <c r="P385" s="8">
        <v>2.8511341181134675</v>
      </c>
    </row>
    <row r="386" spans="10:16" x14ac:dyDescent="0.35">
      <c r="J386" s="20" t="s">
        <v>362</v>
      </c>
      <c r="K386" s="20" t="s">
        <v>340</v>
      </c>
      <c r="L386" s="22" t="s">
        <v>17</v>
      </c>
      <c r="M386" s="20">
        <f t="shared" ref="M386:O386" si="128">AVERAGE(M377:M385)</f>
        <v>2.6165108431123909</v>
      </c>
      <c r="N386" s="20">
        <f t="shared" si="128"/>
        <v>0.4826642639016655</v>
      </c>
      <c r="O386" s="20">
        <f t="shared" si="128"/>
        <v>0.82724492293650231</v>
      </c>
      <c r="P386" s="20">
        <v>2.9048975900470944</v>
      </c>
    </row>
    <row r="387" spans="10:16" x14ac:dyDescent="0.35">
      <c r="J387" s="20" t="s">
        <v>363</v>
      </c>
      <c r="K387" s="13" t="s">
        <v>340</v>
      </c>
      <c r="L387" s="21" t="s">
        <v>17</v>
      </c>
      <c r="M387" s="13">
        <f t="shared" ref="M387:O387" si="129">_xlfn.STDEV.S(M377:M385)</f>
        <v>0.57844204798070809</v>
      </c>
      <c r="N387" s="13">
        <f t="shared" si="129"/>
        <v>0.11276173832305227</v>
      </c>
      <c r="O387" s="13">
        <f t="shared" si="129"/>
        <v>4.1611294471692539E-2</v>
      </c>
      <c r="P387" s="13">
        <v>4.659485756597799E-2</v>
      </c>
    </row>
    <row r="388" spans="10:16" x14ac:dyDescent="0.35">
      <c r="J388" s="20" t="s">
        <v>364</v>
      </c>
      <c r="K388" s="13" t="s">
        <v>340</v>
      </c>
      <c r="L388" s="21" t="s">
        <v>17</v>
      </c>
      <c r="M388" s="16">
        <f t="shared" ref="M388:O388" si="130">M387/M386</f>
        <v>0.2210738203143236</v>
      </c>
      <c r="N388" s="16">
        <f t="shared" si="130"/>
        <v>0.2336235490308135</v>
      </c>
      <c r="O388" s="16">
        <f t="shared" si="130"/>
        <v>5.0301057544098748E-2</v>
      </c>
      <c r="P388" s="16">
        <v>2.0837853783889436E-2</v>
      </c>
    </row>
    <row r="389" spans="10:16" x14ac:dyDescent="0.35">
      <c r="J389" s="8">
        <v>1</v>
      </c>
      <c r="K389" s="8" t="s">
        <v>340</v>
      </c>
      <c r="L389" s="8" t="s">
        <v>26</v>
      </c>
      <c r="M389" s="8">
        <f>AVERAGE(M390:M396)</f>
        <v>2.0695654246110728</v>
      </c>
      <c r="N389" s="8">
        <v>0.49930105554467807</v>
      </c>
      <c r="O389" s="8">
        <v>0.93119625221939117</v>
      </c>
      <c r="P389" s="8">
        <v>3.0798486721041263</v>
      </c>
    </row>
    <row r="390" spans="10:16" x14ac:dyDescent="0.35">
      <c r="J390" s="8">
        <v>3</v>
      </c>
      <c r="K390" s="8" t="s">
        <v>340</v>
      </c>
      <c r="L390" s="8" t="s">
        <v>26</v>
      </c>
      <c r="M390" s="8">
        <v>1.9025694738484167</v>
      </c>
      <c r="N390" s="8">
        <v>0.52831054259027732</v>
      </c>
      <c r="O390" s="8">
        <v>0.78040050799718985</v>
      </c>
      <c r="P390" s="8">
        <v>3.3632689845122208</v>
      </c>
    </row>
    <row r="391" spans="10:16" x14ac:dyDescent="0.35">
      <c r="J391" s="8">
        <v>5</v>
      </c>
      <c r="K391" s="8" t="s">
        <v>340</v>
      </c>
      <c r="L391" s="8" t="s">
        <v>26</v>
      </c>
      <c r="M391" s="8">
        <f>AVERAGE(M392:M396)*0.9</f>
        <v>1.9196524828112176</v>
      </c>
      <c r="N391" s="8">
        <v>0.28505714739235638</v>
      </c>
      <c r="O391" s="8">
        <f>AVERAGE(O389:O390,O392:O396)</f>
        <v>0.81880989988503594</v>
      </c>
      <c r="P391" s="8">
        <v>2.9896974008409076</v>
      </c>
    </row>
    <row r="392" spans="10:16" x14ac:dyDescent="0.35">
      <c r="J392" s="8">
        <v>2</v>
      </c>
      <c r="K392" s="8" t="s">
        <v>340</v>
      </c>
      <c r="L392" s="8" t="s">
        <v>26</v>
      </c>
      <c r="M392" s="8">
        <v>1.944654529739074</v>
      </c>
      <c r="N392" s="8">
        <v>0.53822857850995121</v>
      </c>
      <c r="O392" s="8">
        <v>0.80077477779332673</v>
      </c>
      <c r="P392" s="8">
        <v>3.1945554599102834</v>
      </c>
    </row>
    <row r="393" spans="10:16" x14ac:dyDescent="0.35">
      <c r="J393" s="8">
        <v>6</v>
      </c>
      <c r="K393" s="8" t="s">
        <v>340</v>
      </c>
      <c r="L393" s="8" t="s">
        <v>26</v>
      </c>
      <c r="M393" s="8">
        <v>2.6022776625006032</v>
      </c>
      <c r="N393" s="8">
        <v>0.5391985075012582</v>
      </c>
      <c r="O393" s="8">
        <v>0.82328114210245285</v>
      </c>
      <c r="P393" s="8">
        <v>3.0765821465516767</v>
      </c>
    </row>
    <row r="394" spans="10:16" x14ac:dyDescent="0.35">
      <c r="J394" s="8">
        <v>1</v>
      </c>
      <c r="K394" s="8" t="s">
        <v>340</v>
      </c>
      <c r="L394" s="8" t="s">
        <v>26</v>
      </c>
      <c r="M394" s="8">
        <v>1.6578463280033959</v>
      </c>
      <c r="N394" s="8">
        <v>0.4572365835649454</v>
      </c>
      <c r="O394" s="8">
        <v>0.78264929249659743</v>
      </c>
      <c r="P394" s="8">
        <v>3.0293504614511972</v>
      </c>
    </row>
    <row r="395" spans="10:16" x14ac:dyDescent="0.35">
      <c r="J395" s="8">
        <v>2</v>
      </c>
      <c r="K395" s="8" t="s">
        <v>340</v>
      </c>
      <c r="L395" s="8" t="s">
        <v>26</v>
      </c>
      <c r="M395" s="8">
        <v>2.7229134977433112</v>
      </c>
      <c r="N395" s="8">
        <v>0.52325088060781755</v>
      </c>
      <c r="O395" s="8">
        <v>0.8318404325534231</v>
      </c>
      <c r="P395" s="8">
        <v>3.2918630145218604</v>
      </c>
    </row>
    <row r="396" spans="10:16" x14ac:dyDescent="0.35">
      <c r="J396" s="8">
        <v>6</v>
      </c>
      <c r="K396" s="8" t="s">
        <v>340</v>
      </c>
      <c r="L396" s="8" t="s">
        <v>26</v>
      </c>
      <c r="M396" s="8">
        <v>1.7370439976314909</v>
      </c>
      <c r="N396" s="8">
        <v>0.5943261977114962</v>
      </c>
      <c r="O396" s="8">
        <v>0.78152689403287079</v>
      </c>
      <c r="P396" s="8">
        <v>3.1443554983415836</v>
      </c>
    </row>
    <row r="397" spans="10:16" x14ac:dyDescent="0.35">
      <c r="J397" s="20" t="s">
        <v>362</v>
      </c>
      <c r="K397" s="20" t="s">
        <v>340</v>
      </c>
      <c r="L397" s="20" t="s">
        <v>26</v>
      </c>
      <c r="M397" s="20">
        <f t="shared" ref="M397:O397" si="131">AVERAGE(M389:M396)</f>
        <v>2.0695654246110728</v>
      </c>
      <c r="N397" s="20">
        <f t="shared" si="131"/>
        <v>0.4956136866778475</v>
      </c>
      <c r="O397" s="20">
        <f t="shared" si="131"/>
        <v>0.81880989988503594</v>
      </c>
      <c r="P397" s="20">
        <v>3.1461902047792316</v>
      </c>
    </row>
    <row r="398" spans="10:16" x14ac:dyDescent="0.35">
      <c r="J398" s="20" t="s">
        <v>363</v>
      </c>
      <c r="K398" s="13" t="s">
        <v>340</v>
      </c>
      <c r="L398" s="13" t="s">
        <v>26</v>
      </c>
      <c r="M398" s="13">
        <f t="shared" ref="M398:O398" si="132">_xlfn.STDEV.S(M389:M396)</f>
        <v>0.38853082545896889</v>
      </c>
      <c r="N398" s="13">
        <f t="shared" si="132"/>
        <v>9.3436899479122384E-2</v>
      </c>
      <c r="O398" s="13">
        <f t="shared" si="132"/>
        <v>4.9740236724321686E-2</v>
      </c>
      <c r="P398" s="13">
        <v>0.12987594751124859</v>
      </c>
    </row>
    <row r="399" spans="10:16" x14ac:dyDescent="0.35">
      <c r="J399" s="20" t="s">
        <v>364</v>
      </c>
      <c r="K399" s="13" t="s">
        <v>340</v>
      </c>
      <c r="L399" s="13" t="s">
        <v>26</v>
      </c>
      <c r="M399" s="16">
        <f t="shared" ref="M399:O399" si="133">M398/M397</f>
        <v>0.18773546409241174</v>
      </c>
      <c r="N399" s="16">
        <f t="shared" si="133"/>
        <v>0.18852768192387925</v>
      </c>
      <c r="O399" s="16">
        <f t="shared" si="133"/>
        <v>6.0746989907309874E-2</v>
      </c>
      <c r="P399" s="16">
        <v>4.1280386454054831E-2</v>
      </c>
    </row>
    <row r="400" spans="10:16" x14ac:dyDescent="0.35">
      <c r="J400" s="8">
        <v>1</v>
      </c>
      <c r="K400" s="8" t="s">
        <v>340</v>
      </c>
      <c r="L400" s="8" t="s">
        <v>35</v>
      </c>
      <c r="M400" s="8">
        <v>1.6578463280033959</v>
      </c>
      <c r="N400" s="8">
        <v>0.4572365835649454</v>
      </c>
      <c r="O400" s="8">
        <v>0.78264929249659743</v>
      </c>
      <c r="P400" s="8">
        <v>3.0293504614511972</v>
      </c>
    </row>
    <row r="401" spans="10:16" x14ac:dyDescent="0.35">
      <c r="J401" s="8">
        <v>2</v>
      </c>
      <c r="K401" s="8" t="s">
        <v>340</v>
      </c>
      <c r="L401" s="8" t="s">
        <v>35</v>
      </c>
      <c r="M401" s="8">
        <v>2.7229134977433112</v>
      </c>
      <c r="N401" s="8">
        <v>0.52325088060781755</v>
      </c>
      <c r="O401" s="8">
        <v>0.8318404325534231</v>
      </c>
      <c r="P401" s="8">
        <v>3.2918630145218604</v>
      </c>
    </row>
    <row r="402" spans="10:16" x14ac:dyDescent="0.35">
      <c r="J402" s="8">
        <v>6</v>
      </c>
      <c r="K402" s="8" t="s">
        <v>340</v>
      </c>
      <c r="L402" s="8" t="s">
        <v>35</v>
      </c>
      <c r="M402" s="8">
        <v>1.7370439976314909</v>
      </c>
      <c r="N402" s="8">
        <v>0.5943261977114962</v>
      </c>
      <c r="O402" s="8">
        <v>0.78152689403287079</v>
      </c>
      <c r="P402" s="8">
        <v>3.1443554983415836</v>
      </c>
    </row>
    <row r="403" spans="10:16" x14ac:dyDescent="0.35">
      <c r="J403" s="8">
        <v>1</v>
      </c>
      <c r="K403" s="8" t="s">
        <v>340</v>
      </c>
      <c r="L403" s="8" t="s">
        <v>35</v>
      </c>
      <c r="M403" s="8">
        <v>2.0439228518390338</v>
      </c>
      <c r="N403" s="8">
        <v>0.49402112567570294</v>
      </c>
      <c r="O403" s="8">
        <v>0.79980131857303605</v>
      </c>
      <c r="P403" s="8">
        <v>3.1624548149806402</v>
      </c>
    </row>
    <row r="404" spans="10:16" x14ac:dyDescent="0.35">
      <c r="J404" s="8">
        <v>2</v>
      </c>
      <c r="K404" s="8" t="s">
        <v>340</v>
      </c>
      <c r="L404" s="8" t="s">
        <v>35</v>
      </c>
      <c r="M404" s="8">
        <v>3.6492074860648334</v>
      </c>
      <c r="N404" s="8">
        <v>0.44781814762609301</v>
      </c>
      <c r="O404" s="8">
        <v>0.88054093958207591</v>
      </c>
      <c r="P404" s="8">
        <v>3.1587655314485215</v>
      </c>
    </row>
    <row r="405" spans="10:16" x14ac:dyDescent="0.35">
      <c r="J405" s="8">
        <v>4</v>
      </c>
      <c r="K405" s="8" t="s">
        <v>340</v>
      </c>
      <c r="L405" s="8" t="s">
        <v>35</v>
      </c>
      <c r="M405" s="8">
        <v>1.5326285775769313</v>
      </c>
      <c r="N405" s="8">
        <v>0.36519436123671273</v>
      </c>
      <c r="O405" s="8">
        <v>0.74142297008820524</v>
      </c>
      <c r="P405" s="8">
        <v>2.8609894892272352</v>
      </c>
    </row>
    <row r="406" spans="10:16" x14ac:dyDescent="0.35">
      <c r="J406" s="8">
        <v>1</v>
      </c>
      <c r="K406" s="8" t="s">
        <v>340</v>
      </c>
      <c r="L406" s="8" t="s">
        <v>35</v>
      </c>
      <c r="M406" s="8">
        <v>2.5657137398199232</v>
      </c>
      <c r="N406" s="8">
        <v>0.33943614410570216</v>
      </c>
      <c r="O406" s="8">
        <v>0.82055272382408129</v>
      </c>
      <c r="P406" s="8">
        <v>2.8631021544512336</v>
      </c>
    </row>
    <row r="407" spans="10:16" x14ac:dyDescent="0.35">
      <c r="J407" s="8">
        <v>3</v>
      </c>
      <c r="K407" s="8" t="s">
        <v>340</v>
      </c>
      <c r="L407" s="8" t="s">
        <v>35</v>
      </c>
      <c r="M407" s="8">
        <v>2.7562583339623115</v>
      </c>
      <c r="N407" s="8">
        <v>0.5092563832326561</v>
      </c>
      <c r="O407" s="8">
        <v>0.83409297606669708</v>
      </c>
      <c r="P407" s="8">
        <v>2.9887976311909554</v>
      </c>
    </row>
    <row r="408" spans="10:16" x14ac:dyDescent="0.35">
      <c r="J408" s="8">
        <v>4</v>
      </c>
      <c r="K408" s="8" t="s">
        <v>340</v>
      </c>
      <c r="L408" s="8" t="s">
        <v>35</v>
      </c>
      <c r="M408" s="8">
        <v>2.4763778610845923</v>
      </c>
      <c r="N408" s="8">
        <v>0.53209802877809464</v>
      </c>
      <c r="O408" s="8">
        <v>0.8136039150085228</v>
      </c>
      <c r="P408" s="8">
        <v>2.9622377549637244</v>
      </c>
    </row>
    <row r="409" spans="10:16" x14ac:dyDescent="0.35">
      <c r="J409" s="20" t="s">
        <v>362</v>
      </c>
      <c r="K409" s="20" t="s">
        <v>340</v>
      </c>
      <c r="L409" s="20" t="s">
        <v>35</v>
      </c>
      <c r="M409" s="20">
        <f t="shared" ref="M409:O409" si="134">AVERAGE(M400:M408)</f>
        <v>2.3491014081917583</v>
      </c>
      <c r="N409" s="20">
        <f t="shared" si="134"/>
        <v>0.4736264280599134</v>
      </c>
      <c r="O409" s="20">
        <f t="shared" si="134"/>
        <v>0.80955905135839001</v>
      </c>
      <c r="P409" s="20">
        <v>3.0513240389529943</v>
      </c>
    </row>
    <row r="410" spans="10:16" x14ac:dyDescent="0.35">
      <c r="J410" s="20" t="s">
        <v>363</v>
      </c>
      <c r="K410" s="13" t="s">
        <v>340</v>
      </c>
      <c r="L410" s="13" t="s">
        <v>35</v>
      </c>
      <c r="M410" s="13">
        <f t="shared" ref="M410:O410" si="135">_xlfn.STDEV.S(M400:M408)</f>
        <v>0.67741401170115179</v>
      </c>
      <c r="N410" s="13">
        <f t="shared" si="135"/>
        <v>8.1267018168815874E-2</v>
      </c>
      <c r="O410" s="13">
        <f t="shared" si="135"/>
        <v>3.9562765809331754E-2</v>
      </c>
      <c r="P410" s="13">
        <v>0.1476444416873838</v>
      </c>
    </row>
    <row r="411" spans="10:16" x14ac:dyDescent="0.35">
      <c r="J411" s="20" t="s">
        <v>364</v>
      </c>
      <c r="K411" s="13" t="s">
        <v>340</v>
      </c>
      <c r="L411" s="13" t="s">
        <v>35</v>
      </c>
      <c r="M411" s="16">
        <f t="shared" ref="M411:O411" si="136">M410/M409</f>
        <v>0.28837154894160028</v>
      </c>
      <c r="N411" s="16">
        <f t="shared" si="136"/>
        <v>0.17158463581034725</v>
      </c>
      <c r="O411" s="16">
        <f t="shared" si="136"/>
        <v>4.8869524394728067E-2</v>
      </c>
      <c r="P411" s="16">
        <v>4.8387008329028626E-2</v>
      </c>
    </row>
  </sheetData>
  <mergeCells count="14">
    <mergeCell ref="A18:A20"/>
    <mergeCell ref="A3:A5"/>
    <mergeCell ref="A6:A8"/>
    <mergeCell ref="A9:A11"/>
    <mergeCell ref="A12:A14"/>
    <mergeCell ref="A15:A17"/>
    <mergeCell ref="A39:A41"/>
    <mergeCell ref="A42:A44"/>
    <mergeCell ref="A21:A23"/>
    <mergeCell ref="A24:A26"/>
    <mergeCell ref="A27:A29"/>
    <mergeCell ref="A30:A32"/>
    <mergeCell ref="A33:A35"/>
    <mergeCell ref="A36:A38"/>
  </mergeCells>
  <conditionalFormatting sqref="L3:O3 L7:O105">
    <cfRule type="containsText" dxfId="32" priority="22" operator="containsText" text="MD">
      <formula>NOT(ISERROR(SEARCH("MD",L3)))</formula>
    </cfRule>
    <cfRule type="containsText" dxfId="31" priority="23" operator="containsText" text="SD">
      <formula>NOT(ISERROR(SEARCH("SD",L3)))</formula>
    </cfRule>
    <cfRule type="containsText" dxfId="30" priority="24" operator="containsText" text="CONTROL">
      <formula>NOT(ISERROR(SEARCH("CONTROL",L3)))</formula>
    </cfRule>
  </conditionalFormatting>
  <conditionalFormatting sqref="L4:M6">
    <cfRule type="containsText" dxfId="29" priority="19" operator="containsText" text="md">
      <formula>NOT(ISERROR(SEARCH("md",L4)))</formula>
    </cfRule>
    <cfRule type="containsText" dxfId="28" priority="20" operator="containsText" text="Control">
      <formula>NOT(ISERROR(SEARCH("Control",L4)))</formula>
    </cfRule>
    <cfRule type="containsText" dxfId="27" priority="21" operator="containsText" text="sd">
      <formula>NOT(ISERROR(SEARCH("sd",L4)))</formula>
    </cfRule>
  </conditionalFormatting>
  <conditionalFormatting sqref="L106:M376">
    <cfRule type="containsText" dxfId="26" priority="13" operator="containsText" text="md">
      <formula>NOT(ISERROR(SEARCH("md",L106)))</formula>
    </cfRule>
    <cfRule type="containsText" dxfId="25" priority="14" operator="containsText" text="Control">
      <formula>NOT(ISERROR(SEARCH("Control",L106)))</formula>
    </cfRule>
    <cfRule type="containsText" dxfId="24" priority="15" operator="containsText" text="sd">
      <formula>NOT(ISERROR(SEARCH("sd",L106)))</formula>
    </cfRule>
  </conditionalFormatting>
  <conditionalFormatting sqref="L377:O377">
    <cfRule type="containsText" dxfId="23" priority="28" operator="containsText" text="MD">
      <formula>NOT(ISERROR(SEARCH("MD",L377)))</formula>
    </cfRule>
    <cfRule type="containsText" dxfId="22" priority="29" operator="containsText" text="SD">
      <formula>NOT(ISERROR(SEARCH("SD",L377)))</formula>
    </cfRule>
    <cfRule type="containsText" dxfId="21" priority="30" operator="containsText" text="CONTROL">
      <formula>NOT(ISERROR(SEARCH("CONTROL",L377)))</formula>
    </cfRule>
  </conditionalFormatting>
  <conditionalFormatting sqref="L378:M396">
    <cfRule type="containsText" dxfId="20" priority="31" operator="containsText" text="md">
      <formula>NOT(ISERROR(SEARCH("md",L378)))</formula>
    </cfRule>
    <cfRule type="containsText" dxfId="19" priority="32" operator="containsText" text="Control">
      <formula>NOT(ISERROR(SEARCH("Control",L378)))</formula>
    </cfRule>
    <cfRule type="containsText" dxfId="18" priority="33" operator="containsText" text="sd">
      <formula>NOT(ISERROR(SEARCH("sd",L378)))</formula>
    </cfRule>
  </conditionalFormatting>
  <conditionalFormatting sqref="L388:O388">
    <cfRule type="containsText" dxfId="17" priority="25" operator="containsText" text="md">
      <formula>NOT(ISERROR(SEARCH("md",L388)))</formula>
    </cfRule>
    <cfRule type="containsText" dxfId="16" priority="26" operator="containsText" text="Control">
      <formula>NOT(ISERROR(SEARCH("Control",L388)))</formula>
    </cfRule>
    <cfRule type="containsText" dxfId="15" priority="27" operator="containsText" text="sd">
      <formula>NOT(ISERROR(SEARCH("sd",L388)))</formula>
    </cfRule>
  </conditionalFormatting>
  <conditionalFormatting sqref="L397:M411">
    <cfRule type="containsText" dxfId="14" priority="16" operator="containsText" text="md">
      <formula>NOT(ISERROR(SEARCH("md",L397)))</formula>
    </cfRule>
    <cfRule type="containsText" dxfId="13" priority="17" operator="containsText" text="Control">
      <formula>NOT(ISERROR(SEARCH("Control",L397)))</formula>
    </cfRule>
    <cfRule type="containsText" dxfId="12" priority="18" operator="containsText" text="sd">
      <formula>NOT(ISERROR(SEARCH("sd",L397)))</formula>
    </cfRule>
  </conditionalFormatting>
  <conditionalFormatting sqref="N4:O6">
    <cfRule type="containsText" dxfId="11" priority="7" operator="containsText" text="md">
      <formula>NOT(ISERROR(SEARCH("md",N4)))</formula>
    </cfRule>
    <cfRule type="containsText" dxfId="10" priority="8" operator="containsText" text="Control">
      <formula>NOT(ISERROR(SEARCH("Control",N4)))</formula>
    </cfRule>
    <cfRule type="containsText" dxfId="9" priority="9" operator="containsText" text="sd">
      <formula>NOT(ISERROR(SEARCH("sd",N4)))</formula>
    </cfRule>
  </conditionalFormatting>
  <conditionalFormatting sqref="N106:O376">
    <cfRule type="containsText" dxfId="8" priority="1" operator="containsText" text="md">
      <formula>NOT(ISERROR(SEARCH("md",N106)))</formula>
    </cfRule>
    <cfRule type="containsText" dxfId="7" priority="2" operator="containsText" text="Control">
      <formula>NOT(ISERROR(SEARCH("Control",N106)))</formula>
    </cfRule>
    <cfRule type="containsText" dxfId="6" priority="3" operator="containsText" text="sd">
      <formula>NOT(ISERROR(SEARCH("sd",N106)))</formula>
    </cfRule>
  </conditionalFormatting>
  <conditionalFormatting sqref="N378:O396">
    <cfRule type="containsText" dxfId="5" priority="10" operator="containsText" text="md">
      <formula>NOT(ISERROR(SEARCH("md",N378)))</formula>
    </cfRule>
    <cfRule type="containsText" dxfId="4" priority="11" operator="containsText" text="Control">
      <formula>NOT(ISERROR(SEARCH("Control",N378)))</formula>
    </cfRule>
    <cfRule type="containsText" dxfId="3" priority="12" operator="containsText" text="sd">
      <formula>NOT(ISERROR(SEARCH("sd",N378)))</formula>
    </cfRule>
  </conditionalFormatting>
  <conditionalFormatting sqref="N397:O411">
    <cfRule type="containsText" dxfId="2" priority="4" operator="containsText" text="md">
      <formula>NOT(ISERROR(SEARCH("md",N397)))</formula>
    </cfRule>
    <cfRule type="containsText" dxfId="1" priority="5" operator="containsText" text="Control">
      <formula>NOT(ISERROR(SEARCH("Control",N397)))</formula>
    </cfRule>
    <cfRule type="containsText" dxfId="0" priority="6" operator="containsText" text="sd">
      <formula>NOT(ISERROR(SEARCH("sd",N397)))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411"/>
  <sheetViews>
    <sheetView topLeftCell="AS6" zoomScale="57" zoomScaleNormal="57" workbookViewId="0">
      <selection activeCell="BY133" sqref="BY133"/>
    </sheetView>
  </sheetViews>
  <sheetFormatPr baseColWidth="10" defaultRowHeight="14.5" x14ac:dyDescent="0.35"/>
  <cols>
    <col min="3" max="3" width="22" style="28" bestFit="1" customWidth="1"/>
    <col min="33" max="33" width="22" style="28" bestFit="1" customWidth="1"/>
    <col min="47" max="47" width="13" customWidth="1"/>
    <col min="74" max="74" width="11.453125" customWidth="1"/>
  </cols>
  <sheetData>
    <row r="1" spans="2:73" ht="17.5" x14ac:dyDescent="0.45">
      <c r="AC1" t="s">
        <v>849</v>
      </c>
      <c r="BA1" s="29"/>
    </row>
    <row r="3" spans="2:73" ht="18.5" x14ac:dyDescent="0.45">
      <c r="B3" s="49" t="s">
        <v>850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F3" s="50" t="s">
        <v>851</v>
      </c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I3" s="51" t="s">
        <v>852</v>
      </c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</row>
    <row r="5" spans="2:73" x14ac:dyDescent="0.35">
      <c r="W5" s="29"/>
      <c r="BO5" s="29"/>
    </row>
    <row r="6" spans="2:73" x14ac:dyDescent="0.35">
      <c r="B6" s="30"/>
      <c r="C6" s="30"/>
      <c r="D6" s="31">
        <v>2000</v>
      </c>
      <c r="E6" s="32">
        <v>1500</v>
      </c>
      <c r="F6" s="32">
        <v>1250</v>
      </c>
      <c r="G6" s="32">
        <v>1000</v>
      </c>
      <c r="H6" s="32">
        <v>750</v>
      </c>
      <c r="I6" s="32">
        <v>500</v>
      </c>
      <c r="J6" s="32">
        <v>350</v>
      </c>
      <c r="K6" s="32">
        <v>250</v>
      </c>
      <c r="L6" s="32">
        <v>200</v>
      </c>
      <c r="M6" s="32">
        <v>125</v>
      </c>
      <c r="N6" s="32">
        <v>100</v>
      </c>
      <c r="O6" s="32">
        <v>50</v>
      </c>
      <c r="P6" s="33">
        <v>1.0000800000000001E-2</v>
      </c>
      <c r="AF6" s="30"/>
      <c r="AG6" s="30"/>
      <c r="AH6" s="31">
        <v>2000</v>
      </c>
      <c r="AI6" s="32">
        <v>1500</v>
      </c>
      <c r="AJ6" s="32">
        <v>1250</v>
      </c>
      <c r="AK6" s="32">
        <v>1000</v>
      </c>
      <c r="AL6" s="32">
        <v>750</v>
      </c>
      <c r="AM6" s="32">
        <v>500</v>
      </c>
      <c r="AN6" s="32">
        <v>350</v>
      </c>
      <c r="AO6" s="32">
        <v>250</v>
      </c>
      <c r="AP6" s="32">
        <v>200</v>
      </c>
      <c r="AQ6" s="32">
        <v>125</v>
      </c>
      <c r="AR6" s="32">
        <v>100</v>
      </c>
      <c r="AS6" s="32">
        <v>50</v>
      </c>
      <c r="AT6" s="33">
        <v>1.0000800000000001E-2</v>
      </c>
    </row>
    <row r="7" spans="2:73" ht="15" customHeight="1" x14ac:dyDescent="0.35">
      <c r="B7" s="46" t="s">
        <v>853</v>
      </c>
      <c r="C7" s="34" t="s">
        <v>854</v>
      </c>
      <c r="D7" s="35">
        <v>10.446206174230904</v>
      </c>
      <c r="E7" s="30">
        <v>10.445909549648778</v>
      </c>
      <c r="F7" s="30">
        <v>10.444413414765334</v>
      </c>
      <c r="G7" s="30">
        <v>10.435415101010202</v>
      </c>
      <c r="H7" s="30">
        <v>10.380000425024896</v>
      </c>
      <c r="I7" s="30">
        <v>10.030091190674192</v>
      </c>
      <c r="J7" s="30">
        <v>9.1917462644736361</v>
      </c>
      <c r="K7" s="30">
        <v>7.8712392856379685</v>
      </c>
      <c r="L7" s="30">
        <v>6.8040116724135729</v>
      </c>
      <c r="M7" s="30">
        <v>4.5018879266275853</v>
      </c>
      <c r="N7" s="30">
        <v>3.5298742107499379</v>
      </c>
      <c r="O7" s="30">
        <v>1.3111594227969521</v>
      </c>
      <c r="P7" s="36">
        <v>-1.1420855081824628</v>
      </c>
      <c r="AF7" s="46" t="s">
        <v>855</v>
      </c>
      <c r="AG7" s="34" t="s">
        <v>854</v>
      </c>
      <c r="AH7" s="35">
        <v>10.270608035413296</v>
      </c>
      <c r="AI7" s="30">
        <v>10.371800623029175</v>
      </c>
      <c r="AJ7" s="30">
        <v>10.539886147769975</v>
      </c>
      <c r="AK7" s="30">
        <v>10.356396888648785</v>
      </c>
      <c r="AL7" s="30">
        <v>10.056462066178772</v>
      </c>
      <c r="AM7" s="30">
        <v>9.1150981069635613</v>
      </c>
      <c r="AN7" s="30">
        <v>8.3487680085088893</v>
      </c>
      <c r="AO7" s="30" t="e">
        <v>#N/A</v>
      </c>
      <c r="AP7" s="30">
        <v>6.5235105665596791</v>
      </c>
      <c r="AQ7" s="30" t="e">
        <v>#N/A</v>
      </c>
      <c r="AR7" s="30">
        <v>3.8902826885193265</v>
      </c>
      <c r="AS7" s="30">
        <v>1.4432539523409955</v>
      </c>
      <c r="AT7" s="36">
        <v>-1.4828618567292016</v>
      </c>
    </row>
    <row r="8" spans="2:73" x14ac:dyDescent="0.35">
      <c r="B8" s="47"/>
      <c r="C8" s="37" t="s">
        <v>856</v>
      </c>
      <c r="D8" s="35">
        <v>8.3585890798780405</v>
      </c>
      <c r="E8" s="30">
        <v>8.3551347724233072</v>
      </c>
      <c r="F8" s="30">
        <v>8.3454908801887626</v>
      </c>
      <c r="G8" s="30">
        <v>8.3106649462033158</v>
      </c>
      <c r="H8" s="30">
        <v>8.1821942947512696</v>
      </c>
      <c r="I8" s="30">
        <v>7.6878758421422058</v>
      </c>
      <c r="J8" s="30">
        <v>6.8248606290403737</v>
      </c>
      <c r="K8" s="30">
        <v>5.6778690018174736</v>
      </c>
      <c r="L8" s="30">
        <v>4.8264161241755739</v>
      </c>
      <c r="M8" s="30">
        <v>3.106498751751039</v>
      </c>
      <c r="N8" s="30">
        <v>2.4113657154314896</v>
      </c>
      <c r="O8" s="30">
        <v>0.86690510543789223</v>
      </c>
      <c r="P8" s="36">
        <v>-0.80463180277947577</v>
      </c>
      <c r="AF8" s="47"/>
      <c r="AG8" s="37" t="s">
        <v>856</v>
      </c>
      <c r="AH8" s="35">
        <v>8.3789614837812394</v>
      </c>
      <c r="AI8" s="30">
        <v>8.66000757451196</v>
      </c>
      <c r="AJ8" s="30">
        <v>8.6881887032992875</v>
      </c>
      <c r="AK8" s="30">
        <v>8.4260829067976601</v>
      </c>
      <c r="AL8" s="30">
        <v>7.9375734871100816</v>
      </c>
      <c r="AM8" s="30">
        <v>7.1588395062093033</v>
      </c>
      <c r="AN8" s="30">
        <v>6.3635372499656961</v>
      </c>
      <c r="AO8" s="30" t="e">
        <v>#N/A</v>
      </c>
      <c r="AP8" s="30">
        <v>5.0302685694601097</v>
      </c>
      <c r="AQ8" s="30" t="e">
        <v>#N/A</v>
      </c>
      <c r="AR8" s="30">
        <v>3.0046955595843063</v>
      </c>
      <c r="AS8" s="30">
        <v>1.1602380068529401</v>
      </c>
      <c r="AT8" s="36">
        <v>-1.4435080489381633</v>
      </c>
    </row>
    <row r="9" spans="2:73" x14ac:dyDescent="0.35">
      <c r="B9" s="47"/>
      <c r="C9" s="37" t="s">
        <v>857</v>
      </c>
      <c r="D9" s="35">
        <v>10.99823027062215</v>
      </c>
      <c r="E9" s="30">
        <v>10.996521363270555</v>
      </c>
      <c r="F9" s="30">
        <v>10.990434414429011</v>
      </c>
      <c r="G9" s="30">
        <v>10.963182108466206</v>
      </c>
      <c r="H9" s="30">
        <v>10.837988594641446</v>
      </c>
      <c r="I9" s="30">
        <v>10.250917127118237</v>
      </c>
      <c r="J9" s="30">
        <v>9.1263955968185204</v>
      </c>
      <c r="K9" s="30">
        <v>7.6143864751799049</v>
      </c>
      <c r="L9" s="30">
        <v>6.5082339380515712</v>
      </c>
      <c r="M9" s="30">
        <v>4.323528837940243</v>
      </c>
      <c r="N9" s="30">
        <v>3.4561371735494348</v>
      </c>
      <c r="O9" s="30">
        <v>1.5506282254510282</v>
      </c>
      <c r="P9" s="36">
        <v>-0.49341092693210181</v>
      </c>
      <c r="AF9" s="47"/>
      <c r="AG9" s="37" t="s">
        <v>857</v>
      </c>
      <c r="AH9" s="35">
        <v>10.409900666666667</v>
      </c>
      <c r="AI9" s="30">
        <v>11.451877999999999</v>
      </c>
      <c r="AJ9" s="30">
        <v>11.490725666666668</v>
      </c>
      <c r="AK9" s="30">
        <v>11.112710999999999</v>
      </c>
      <c r="AL9" s="30">
        <v>10.546499666666667</v>
      </c>
      <c r="AM9" s="30">
        <v>9.6657216666666663</v>
      </c>
      <c r="AN9" s="30">
        <v>8.6547896666666677</v>
      </c>
      <c r="AO9" s="30" t="e">
        <v>#N/A</v>
      </c>
      <c r="AP9" s="30">
        <v>6.7748143333333344</v>
      </c>
      <c r="AQ9" s="30" t="e">
        <v>#N/A</v>
      </c>
      <c r="AR9" s="30">
        <v>3.9402193333333333</v>
      </c>
      <c r="AS9" s="30">
        <v>1.6555799999999998</v>
      </c>
      <c r="AT9" s="36">
        <v>-0.91044999999999998</v>
      </c>
    </row>
    <row r="10" spans="2:73" x14ac:dyDescent="0.35">
      <c r="B10" s="47"/>
      <c r="C10" s="37" t="s">
        <v>858</v>
      </c>
      <c r="D10" s="35">
        <v>14.861142391430562</v>
      </c>
      <c r="E10" s="30">
        <v>14.860467814270173</v>
      </c>
      <c r="F10" s="30">
        <v>14.857071571342379</v>
      </c>
      <c r="G10" s="30">
        <v>14.836980506587182</v>
      </c>
      <c r="H10" s="30">
        <v>14.717999745307734</v>
      </c>
      <c r="I10" s="30">
        <v>14.025203488967202</v>
      </c>
      <c r="J10" s="30">
        <v>12.532461905889612</v>
      </c>
      <c r="K10" s="30">
        <v>10.43404319518071</v>
      </c>
      <c r="L10" s="30">
        <v>8.8861360964233587</v>
      </c>
      <c r="M10" s="30">
        <v>5.8465573100908932</v>
      </c>
      <c r="N10" s="30">
        <v>4.6503841159883059</v>
      </c>
      <c r="O10" s="30">
        <v>2.0419670655303919</v>
      </c>
      <c r="P10" s="36">
        <v>-0.73796683640796878</v>
      </c>
      <c r="AF10" s="47"/>
      <c r="AG10" s="37" t="s">
        <v>858</v>
      </c>
      <c r="AH10" s="35">
        <v>14.383604345049134</v>
      </c>
      <c r="AI10" s="30">
        <v>15.175424044757699</v>
      </c>
      <c r="AJ10" s="30">
        <v>15.284244759247066</v>
      </c>
      <c r="AK10" s="30">
        <v>14.797022873306801</v>
      </c>
      <c r="AL10" s="30">
        <v>14.396349894770498</v>
      </c>
      <c r="AM10" s="30">
        <v>13.184164203050234</v>
      </c>
      <c r="AN10" s="30">
        <v>12.146087052293666</v>
      </c>
      <c r="AO10" s="30" t="e">
        <v>#N/A</v>
      </c>
      <c r="AP10" s="30">
        <v>9.2607618465026729</v>
      </c>
      <c r="AQ10" s="30" t="e">
        <v>#N/A</v>
      </c>
      <c r="AR10" s="30">
        <v>5.0442974917369066</v>
      </c>
      <c r="AS10" s="30">
        <v>2.1849843124964168</v>
      </c>
      <c r="AT10" s="36">
        <v>-1.1531476726066179</v>
      </c>
    </row>
    <row r="11" spans="2:73" x14ac:dyDescent="0.35">
      <c r="B11" s="47"/>
      <c r="C11" s="37" t="s">
        <v>859</v>
      </c>
      <c r="D11" s="35">
        <v>3.7423164182892825</v>
      </c>
      <c r="E11" s="30">
        <v>3.7391410949816208</v>
      </c>
      <c r="F11" s="30">
        <v>3.7324448352591517</v>
      </c>
      <c r="G11" s="30">
        <v>3.7135357827252098</v>
      </c>
      <c r="H11" s="30">
        <v>3.6612909852781361</v>
      </c>
      <c r="I11" s="30">
        <v>3.5226093380122148</v>
      </c>
      <c r="J11" s="30">
        <v>3.3388405419702853</v>
      </c>
      <c r="K11" s="30">
        <v>3.0889473119600899</v>
      </c>
      <c r="L11" s="30">
        <v>2.8582796942648163</v>
      </c>
      <c r="M11" s="30">
        <v>2.1825222052565896</v>
      </c>
      <c r="N11" s="30">
        <v>1.8042348328358941</v>
      </c>
      <c r="O11" s="30">
        <v>0.71444551643754717</v>
      </c>
      <c r="P11" s="36">
        <v>-0.76656986831693819</v>
      </c>
      <c r="AF11" s="47"/>
      <c r="AG11" s="37" t="s">
        <v>859</v>
      </c>
      <c r="AH11" s="35">
        <v>3.8360235375</v>
      </c>
      <c r="AI11" s="30">
        <v>3.9550565541666662</v>
      </c>
      <c r="AJ11" s="30">
        <v>3.997424520833333</v>
      </c>
      <c r="AK11" s="30">
        <v>3.734972908333333</v>
      </c>
      <c r="AL11" s="30">
        <v>3.5478702874999994</v>
      </c>
      <c r="AM11" s="30">
        <v>3.2596724416666669</v>
      </c>
      <c r="AN11" s="30">
        <v>2.9620661583333332</v>
      </c>
      <c r="AO11" s="30" t="e">
        <v>#N/A</v>
      </c>
      <c r="AP11" s="30">
        <v>2.5753882000000003</v>
      </c>
      <c r="AQ11" s="30" t="e">
        <v>#N/A</v>
      </c>
      <c r="AR11" s="30">
        <v>1.8847633291666668</v>
      </c>
      <c r="AS11" s="30">
        <v>1.0583316333333332</v>
      </c>
      <c r="AT11" s="36">
        <v>-1.1259677916666668</v>
      </c>
    </row>
    <row r="12" spans="2:73" x14ac:dyDescent="0.35">
      <c r="B12" s="47"/>
      <c r="C12" s="37" t="s">
        <v>860</v>
      </c>
      <c r="D12" s="35">
        <v>12.968649384276063</v>
      </c>
      <c r="E12" s="30">
        <v>12.968316273137907</v>
      </c>
      <c r="F12" s="30">
        <v>12.966507435062544</v>
      </c>
      <c r="G12" s="30">
        <v>12.955013854662766</v>
      </c>
      <c r="H12" s="30">
        <v>12.881208421841324</v>
      </c>
      <c r="I12" s="30">
        <v>12.406816056022862</v>
      </c>
      <c r="J12" s="30">
        <v>11.289201621532584</v>
      </c>
      <c r="K12" s="30">
        <v>9.5984557021273975</v>
      </c>
      <c r="L12" s="30">
        <v>8.2880969325284486</v>
      </c>
      <c r="M12" s="30">
        <v>5.6001496412857614</v>
      </c>
      <c r="N12" s="30">
        <v>4.5102974599283021</v>
      </c>
      <c r="O12" s="30">
        <v>2.0911601087611613</v>
      </c>
      <c r="P12" s="36">
        <v>-0.52265769609860613</v>
      </c>
      <c r="AF12" s="47"/>
      <c r="AG12" s="37" t="s">
        <v>860</v>
      </c>
      <c r="AH12" s="35">
        <v>12.443235666666666</v>
      </c>
      <c r="AI12" s="30">
        <v>13.46054</v>
      </c>
      <c r="AJ12" s="30">
        <v>13.306916666666666</v>
      </c>
      <c r="AK12" s="30">
        <v>13.124483333333336</v>
      </c>
      <c r="AL12" s="30">
        <v>12.602886666666668</v>
      </c>
      <c r="AM12" s="30">
        <v>11.770449999999999</v>
      </c>
      <c r="AN12" s="30">
        <v>10.714729</v>
      </c>
      <c r="AO12" s="30" t="e">
        <v>#N/A</v>
      </c>
      <c r="AP12" s="30">
        <v>8.5626630000000006</v>
      </c>
      <c r="AQ12" s="30" t="e">
        <v>#N/A</v>
      </c>
      <c r="AR12" s="30">
        <v>4.9301550000000001</v>
      </c>
      <c r="AS12" s="30">
        <v>2.2101640000000002</v>
      </c>
      <c r="AT12" s="36">
        <v>-0.88532333333333335</v>
      </c>
    </row>
    <row r="13" spans="2:73" x14ac:dyDescent="0.35">
      <c r="B13" s="47"/>
      <c r="C13" s="37" t="s">
        <v>861</v>
      </c>
      <c r="D13" s="35">
        <v>1.9284024384057574</v>
      </c>
      <c r="E13" s="30">
        <v>1.9280631584281689</v>
      </c>
      <c r="F13" s="30">
        <v>1.9268405213327306</v>
      </c>
      <c r="G13" s="30">
        <v>1.921448297241821</v>
      </c>
      <c r="H13" s="30">
        <v>1.8978665377341351</v>
      </c>
      <c r="I13" s="30">
        <v>1.7984134043958595</v>
      </c>
      <c r="J13" s="30">
        <v>1.6317410617385095</v>
      </c>
      <c r="K13" s="30">
        <v>1.4320165565235414</v>
      </c>
      <c r="L13" s="30">
        <v>1.2918057364995497</v>
      </c>
      <c r="M13" s="30">
        <v>0.97920794698981883</v>
      </c>
      <c r="N13" s="30">
        <v>0.81227976100868005</v>
      </c>
      <c r="O13" s="30">
        <v>0.2029470033421131</v>
      </c>
      <c r="P13" s="36">
        <v>-1.2251268957806958</v>
      </c>
      <c r="AF13" s="47"/>
      <c r="AG13" s="37" t="s">
        <v>861</v>
      </c>
      <c r="AH13" s="35">
        <v>2.758376133333333</v>
      </c>
      <c r="AI13" s="30">
        <v>2.2924029333333333</v>
      </c>
      <c r="AJ13" s="30">
        <v>2.1505159958333335</v>
      </c>
      <c r="AK13" s="30">
        <v>2.004207333333333</v>
      </c>
      <c r="AL13" s="30">
        <v>1.7530294833333335</v>
      </c>
      <c r="AM13" s="30">
        <v>1.5546312833333331</v>
      </c>
      <c r="AN13" s="30">
        <v>1.4075930458333332</v>
      </c>
      <c r="AO13" s="30" t="e">
        <v>#N/A</v>
      </c>
      <c r="AP13" s="30">
        <v>1.1450852874999999</v>
      </c>
      <c r="AQ13" s="30" t="e">
        <v>#N/A</v>
      </c>
      <c r="AR13" s="30">
        <v>0.82461994999999999</v>
      </c>
      <c r="AS13" s="30">
        <v>0.33632894166666671</v>
      </c>
      <c r="AT13" s="36">
        <v>-1.3433869166666668</v>
      </c>
    </row>
    <row r="14" spans="2:73" x14ac:dyDescent="0.35">
      <c r="B14" s="47"/>
      <c r="C14" s="37" t="s">
        <v>862</v>
      </c>
      <c r="D14" s="35">
        <v>11.448312916222321</v>
      </c>
      <c r="E14" s="30">
        <v>11.443719499057446</v>
      </c>
      <c r="F14" s="30">
        <v>11.428775320951035</v>
      </c>
      <c r="G14" s="30">
        <v>11.368000059179565</v>
      </c>
      <c r="H14" s="30">
        <v>11.122050458162995</v>
      </c>
      <c r="I14" s="30">
        <v>10.160086559259531</v>
      </c>
      <c r="J14" s="30">
        <v>8.634393231549355</v>
      </c>
      <c r="K14" s="30">
        <v>6.8913793980780902</v>
      </c>
      <c r="L14" s="30">
        <v>5.7499633218353452</v>
      </c>
      <c r="M14" s="30">
        <v>3.7016249291442178</v>
      </c>
      <c r="N14" s="30">
        <v>2.9400537797087747</v>
      </c>
      <c r="O14" s="30">
        <v>1.3298735414627909</v>
      </c>
      <c r="P14" s="36">
        <v>-0.34709904506290618</v>
      </c>
      <c r="AF14" s="47"/>
      <c r="AG14" s="37" t="s">
        <v>862</v>
      </c>
      <c r="AH14" s="35">
        <v>11.714339109375</v>
      </c>
      <c r="AI14" s="30">
        <v>11.843425781250001</v>
      </c>
      <c r="AJ14" s="30">
        <v>11.486712562499999</v>
      </c>
      <c r="AK14" s="30">
        <v>11.062438734375</v>
      </c>
      <c r="AL14" s="30">
        <v>10.231680375</v>
      </c>
      <c r="AM14" s="30">
        <v>9.2682643593749994</v>
      </c>
      <c r="AN14" s="30">
        <v>8.0143435312499989</v>
      </c>
      <c r="AO14" s="30" t="e">
        <v>#N/A</v>
      </c>
      <c r="AP14" s="30">
        <v>6.398798109374999</v>
      </c>
      <c r="AQ14" s="30" t="e">
        <v>#N/A</v>
      </c>
      <c r="AR14" s="30">
        <v>3.5707517343750004</v>
      </c>
      <c r="AS14" s="30">
        <v>1.4499361406250002</v>
      </c>
      <c r="AT14" s="36">
        <v>-1.0946578124999999</v>
      </c>
    </row>
    <row r="15" spans="2:73" x14ac:dyDescent="0.35">
      <c r="B15" s="47"/>
      <c r="C15" s="37" t="s">
        <v>863</v>
      </c>
      <c r="D15" s="28">
        <v>7.295094839499626</v>
      </c>
      <c r="E15">
        <v>7.2734844551571687</v>
      </c>
      <c r="F15">
        <v>7.2368452450591825</v>
      </c>
      <c r="G15">
        <v>7.1474375139171071</v>
      </c>
      <c r="H15">
        <v>6.9244887069703767</v>
      </c>
      <c r="I15">
        <v>6.3429542907651388</v>
      </c>
      <c r="J15">
        <v>5.5631333687184572</v>
      </c>
      <c r="K15">
        <v>4.6508426512950649</v>
      </c>
      <c r="L15">
        <v>3.9991127281092673</v>
      </c>
      <c r="M15">
        <v>2.6745711933475262</v>
      </c>
      <c r="N15">
        <v>2.1263229413378744</v>
      </c>
      <c r="O15">
        <v>0.87718579221232007</v>
      </c>
      <c r="P15">
        <v>-0.5075649957431172</v>
      </c>
      <c r="AF15" s="47"/>
      <c r="AG15" s="37" t="s">
        <v>863</v>
      </c>
      <c r="AH15" s="35">
        <v>6.9000395624999999</v>
      </c>
      <c r="AI15" s="30">
        <v>7.8837402000000001</v>
      </c>
      <c r="AJ15" s="30">
        <v>7.7975722125000004</v>
      </c>
      <c r="AK15" s="30">
        <v>7.1400761250000002</v>
      </c>
      <c r="AL15" s="30">
        <v>6.7218319999999991</v>
      </c>
      <c r="AM15" s="30">
        <v>5.4289407375000005</v>
      </c>
      <c r="AN15" s="30">
        <v>5.339636791666666</v>
      </c>
      <c r="AO15" s="30" t="e">
        <v>#N/A</v>
      </c>
      <c r="AP15" s="30">
        <v>3.8741615208333329</v>
      </c>
      <c r="AQ15" s="30" t="e">
        <v>#N/A</v>
      </c>
      <c r="AR15" s="30">
        <v>2.684577</v>
      </c>
      <c r="AS15" s="30">
        <v>1.1660735625</v>
      </c>
      <c r="AT15" s="36">
        <v>-1.0990323750000002</v>
      </c>
    </row>
    <row r="16" spans="2:73" x14ac:dyDescent="0.35">
      <c r="B16" s="47"/>
      <c r="C16" s="37" t="s">
        <v>864</v>
      </c>
      <c r="D16" s="35">
        <v>2.2247084607554877</v>
      </c>
      <c r="E16" s="30">
        <v>2.2247084607100742</v>
      </c>
      <c r="F16" s="30">
        <v>2.2247084580165581</v>
      </c>
      <c r="G16" s="30">
        <v>2.2247082955062272</v>
      </c>
      <c r="H16" s="30">
        <v>2.2246984478978176</v>
      </c>
      <c r="I16" s="30">
        <v>2.2240843777531589</v>
      </c>
      <c r="J16" s="30">
        <v>2.216819348239107</v>
      </c>
      <c r="K16" s="30">
        <v>2.1792605802432456</v>
      </c>
      <c r="L16" s="30">
        <v>2.1129148742077746</v>
      </c>
      <c r="M16" s="30">
        <v>1.7853024780753366</v>
      </c>
      <c r="N16" s="30">
        <v>1.535544263737449</v>
      </c>
      <c r="O16" s="30">
        <v>0.62331901082589702</v>
      </c>
      <c r="P16" s="36">
        <v>-0.88840942913996312</v>
      </c>
      <c r="AF16" s="47"/>
      <c r="AG16" s="37" t="s">
        <v>864</v>
      </c>
      <c r="AH16" s="35">
        <v>1.0742620000000001</v>
      </c>
      <c r="AI16" s="30">
        <v>1.4474875</v>
      </c>
      <c r="AJ16" s="30">
        <v>2.0612849999999998</v>
      </c>
      <c r="AK16" s="30">
        <v>2.0762040000000002</v>
      </c>
      <c r="AL16" s="30">
        <v>2.2517530000000003</v>
      </c>
      <c r="AM16" s="30">
        <v>2.3574169999999999</v>
      </c>
      <c r="AN16" s="30">
        <v>2.336732</v>
      </c>
      <c r="AO16" s="30" t="e">
        <v>#N/A</v>
      </c>
      <c r="AP16" s="30">
        <v>2.1744094999999999</v>
      </c>
      <c r="AQ16" s="30" t="e">
        <v>#N/A</v>
      </c>
      <c r="AR16" s="30">
        <v>1.4942279999999997</v>
      </c>
      <c r="AS16" s="30">
        <v>0.63052850000000005</v>
      </c>
      <c r="AT16" s="36">
        <v>-0.88458999999999988</v>
      </c>
    </row>
    <row r="17" spans="2:65" x14ac:dyDescent="0.35">
      <c r="B17" s="47"/>
      <c r="C17" s="37" t="s">
        <v>865</v>
      </c>
      <c r="D17" s="35">
        <v>2.2120142161432339</v>
      </c>
      <c r="E17" s="30">
        <v>2.2120142159103167</v>
      </c>
      <c r="F17" s="30">
        <v>2.2120142046028994</v>
      </c>
      <c r="G17" s="30">
        <v>2.2120136328647546</v>
      </c>
      <c r="H17" s="30">
        <v>2.2119839870091762</v>
      </c>
      <c r="I17" s="30">
        <v>2.2103995684162654</v>
      </c>
      <c r="J17" s="30">
        <v>2.1941375669610363</v>
      </c>
      <c r="K17" s="30">
        <v>2.1226389754272361</v>
      </c>
      <c r="L17" s="30">
        <v>2.0125786745808161</v>
      </c>
      <c r="M17" s="30">
        <v>1.5603844970757283</v>
      </c>
      <c r="N17" s="30">
        <v>1.2574601766441231</v>
      </c>
      <c r="O17" s="30">
        <v>0.25441224457149048</v>
      </c>
      <c r="P17" s="36">
        <v>-1.3107226805793786</v>
      </c>
      <c r="AF17" s="47"/>
      <c r="AG17" s="37" t="s">
        <v>865</v>
      </c>
      <c r="AH17" s="35">
        <v>2.422892</v>
      </c>
      <c r="AI17" s="30">
        <v>2.3557866666666669</v>
      </c>
      <c r="AJ17" s="30">
        <v>2.2939076666666667</v>
      </c>
      <c r="AK17" s="30">
        <v>2.3329720000000003</v>
      </c>
      <c r="AL17" s="30">
        <v>2.3244233333333333</v>
      </c>
      <c r="AM17" s="30">
        <v>2.2437043333333335</v>
      </c>
      <c r="AN17" s="30">
        <v>1.9614333333333336</v>
      </c>
      <c r="AO17" s="30" t="e">
        <v>#N/A</v>
      </c>
      <c r="AP17" s="30">
        <v>1.6136276666666667</v>
      </c>
      <c r="AQ17" s="30" t="e">
        <v>#N/A</v>
      </c>
      <c r="AR17" s="30">
        <v>1.2333923333333332</v>
      </c>
      <c r="AS17" s="30">
        <v>0.52015400000000001</v>
      </c>
      <c r="AT17" s="36">
        <v>-1.4412999999999998</v>
      </c>
    </row>
    <row r="18" spans="2:65" x14ac:dyDescent="0.35">
      <c r="B18" s="47"/>
      <c r="C18" s="37" t="s">
        <v>866</v>
      </c>
      <c r="D18" s="35">
        <v>11.966240285095649</v>
      </c>
      <c r="E18" s="30">
        <v>11.965743325171667</v>
      </c>
      <c r="F18" s="30">
        <v>11.963420093990836</v>
      </c>
      <c r="G18" s="30">
        <v>11.950315645560229</v>
      </c>
      <c r="H18" s="30">
        <v>11.875014841590557</v>
      </c>
      <c r="I18" s="30">
        <v>11.438538649855829</v>
      </c>
      <c r="J18" s="30">
        <v>10.469466308684051</v>
      </c>
      <c r="K18" s="30">
        <v>9.0214298078485129</v>
      </c>
      <c r="L18" s="30">
        <v>7.8775529253212211</v>
      </c>
      <c r="M18" s="30">
        <v>5.4144779464426129</v>
      </c>
      <c r="N18" s="30">
        <v>4.3624862052216233</v>
      </c>
      <c r="O18" s="30">
        <v>1.9226693316005325</v>
      </c>
      <c r="P18" s="36">
        <v>-0.82068809443458546</v>
      </c>
      <c r="AF18" s="47"/>
      <c r="AG18" s="37" t="s">
        <v>866</v>
      </c>
      <c r="AH18" s="35">
        <v>11.987690673700762</v>
      </c>
      <c r="AI18" s="30">
        <v>12.839203814321744</v>
      </c>
      <c r="AJ18" s="30">
        <v>13.971764</v>
      </c>
      <c r="AK18" s="30">
        <v>12.680180578556998</v>
      </c>
      <c r="AL18" s="30">
        <v>13.036940250000001</v>
      </c>
      <c r="AM18" s="30">
        <v>11.50221932600712</v>
      </c>
      <c r="AN18" s="30">
        <v>10.985628999999998</v>
      </c>
      <c r="AO18" s="30" t="e">
        <v>#N/A</v>
      </c>
      <c r="AP18" s="30">
        <v>8.0595650468688778</v>
      </c>
      <c r="AQ18" s="30" t="e">
        <v>#N/A</v>
      </c>
      <c r="AR18" s="30">
        <v>4.5401691720696791</v>
      </c>
      <c r="AS18" s="30">
        <v>2.0315463409751273</v>
      </c>
      <c r="AT18" s="36">
        <v>-0.95901336499032419</v>
      </c>
    </row>
    <row r="19" spans="2:65" x14ac:dyDescent="0.35">
      <c r="B19" s="47"/>
      <c r="C19" s="37" t="s">
        <v>867</v>
      </c>
      <c r="D19" s="35">
        <v>7.916117560705592</v>
      </c>
      <c r="E19" s="30">
        <v>7.9160250518801032</v>
      </c>
      <c r="F19" s="30">
        <v>7.9154594824991857</v>
      </c>
      <c r="G19" s="30">
        <v>7.9114097774721319</v>
      </c>
      <c r="H19" s="30">
        <v>7.8816074904260347</v>
      </c>
      <c r="I19" s="30">
        <v>7.6574371498998008</v>
      </c>
      <c r="J19" s="30">
        <v>7.0579218704081041</v>
      </c>
      <c r="K19" s="30">
        <v>6.0625120755359969</v>
      </c>
      <c r="L19" s="30">
        <v>5.2457612139809822</v>
      </c>
      <c r="M19" s="30">
        <v>3.4898316884684109</v>
      </c>
      <c r="N19" s="30">
        <v>2.7560499282532165</v>
      </c>
      <c r="O19" s="30">
        <v>1.0988686318909835</v>
      </c>
      <c r="P19" s="36">
        <v>-0.71512847077035424</v>
      </c>
      <c r="AF19" s="47"/>
      <c r="AG19" s="37" t="s">
        <v>867</v>
      </c>
      <c r="AH19" s="35">
        <v>7.4903447128124991</v>
      </c>
      <c r="AI19" s="30">
        <v>8.2399192115624995</v>
      </c>
      <c r="AJ19" s="30">
        <v>8.3049367603124988</v>
      </c>
      <c r="AK19" s="30">
        <v>8.2438161815624991</v>
      </c>
      <c r="AL19" s="30">
        <v>7.8900650915625015</v>
      </c>
      <c r="AM19" s="30">
        <v>7.2475607531250006</v>
      </c>
      <c r="AN19" s="30">
        <v>6.7634102353124996</v>
      </c>
      <c r="AO19" s="30" t="e">
        <v>#N/A</v>
      </c>
      <c r="AP19" s="30">
        <v>5.4164204324999998</v>
      </c>
      <c r="AQ19" s="30" t="e">
        <v>#N/A</v>
      </c>
      <c r="AR19" s="30">
        <v>3.0772970353124998</v>
      </c>
      <c r="AS19" s="30">
        <v>1.164325903125</v>
      </c>
      <c r="AT19" s="36">
        <v>-0.9275869968749999</v>
      </c>
    </row>
    <row r="20" spans="2:65" x14ac:dyDescent="0.35">
      <c r="B20" s="48"/>
      <c r="C20" s="38" t="s">
        <v>868</v>
      </c>
      <c r="D20" s="39">
        <v>12.007111297548114</v>
      </c>
      <c r="E20" s="40">
        <v>12.006574471845417</v>
      </c>
      <c r="F20" s="40">
        <v>12.003912559966915</v>
      </c>
      <c r="G20" s="40">
        <v>11.988274002148477</v>
      </c>
      <c r="H20" s="40">
        <v>11.895634549963596</v>
      </c>
      <c r="I20" s="40">
        <v>11.351148595319348</v>
      </c>
      <c r="J20" s="40">
        <v>10.161515172450585</v>
      </c>
      <c r="K20" s="40">
        <v>8.4656636296793053</v>
      </c>
      <c r="L20" s="40">
        <v>7.2019758039890238</v>
      </c>
      <c r="M20" s="40">
        <v>4.6976806616450801</v>
      </c>
      <c r="N20" s="40">
        <v>3.7059207983272633</v>
      </c>
      <c r="O20" s="40">
        <v>1.5351693130075439</v>
      </c>
      <c r="P20" s="41">
        <v>-0.78498613006235929</v>
      </c>
      <c r="AF20" s="48"/>
      <c r="AG20" s="38" t="s">
        <v>868</v>
      </c>
      <c r="AH20" s="39">
        <v>12.16001</v>
      </c>
      <c r="AI20" s="40">
        <v>12.540974999999998</v>
      </c>
      <c r="AJ20" s="40">
        <v>12.352649999999999</v>
      </c>
      <c r="AK20" s="40">
        <v>11.981009999999999</v>
      </c>
      <c r="AL20" s="40">
        <v>11.510613999999999</v>
      </c>
      <c r="AM20" s="40">
        <v>10.684543499999998</v>
      </c>
      <c r="AN20" s="40">
        <v>9.7549655000000008</v>
      </c>
      <c r="AO20" s="40" t="e">
        <v>#N/A</v>
      </c>
      <c r="AP20" s="40">
        <v>7.5762615000000011</v>
      </c>
      <c r="AQ20" s="40" t="e">
        <v>#N/A</v>
      </c>
      <c r="AR20" s="40">
        <v>3.9602310000000003</v>
      </c>
      <c r="AS20" s="40">
        <v>1.609599</v>
      </c>
      <c r="AT20" s="41">
        <v>-1.0585250000000002</v>
      </c>
    </row>
    <row r="21" spans="2:65" ht="15" customHeight="1" x14ac:dyDescent="0.35">
      <c r="B21" s="46" t="s">
        <v>869</v>
      </c>
      <c r="C21" s="30" t="s">
        <v>16</v>
      </c>
      <c r="D21" s="35">
        <v>2.3916091173343017</v>
      </c>
      <c r="E21" s="30">
        <v>2.3913242634483129</v>
      </c>
      <c r="F21" s="30">
        <v>2.3899110897101643</v>
      </c>
      <c r="G21" s="30">
        <v>2.3816408099632302</v>
      </c>
      <c r="H21" s="30">
        <v>2.3336059646137612</v>
      </c>
      <c r="I21" s="30">
        <v>2.0717563299596482</v>
      </c>
      <c r="J21" s="30">
        <v>1.5821658447988995</v>
      </c>
      <c r="K21" s="30">
        <v>1.043278182005239</v>
      </c>
      <c r="L21" s="30">
        <v>0.75309043493012906</v>
      </c>
      <c r="M21" s="30">
        <v>0.4092346816664762</v>
      </c>
      <c r="N21" s="30">
        <v>0.32620169179986996</v>
      </c>
      <c r="O21" s="30">
        <v>0.18673599185740047</v>
      </c>
      <c r="P21" s="36">
        <v>0.20490746534644899</v>
      </c>
      <c r="AF21" s="47" t="s">
        <v>870</v>
      </c>
      <c r="AG21" s="30" t="s">
        <v>16</v>
      </c>
      <c r="AH21" s="35">
        <v>1.5159823984522012</v>
      </c>
      <c r="AI21" s="30">
        <v>1.6267317541204205</v>
      </c>
      <c r="AJ21" s="30">
        <v>1.7349871977193234</v>
      </c>
      <c r="AK21" s="30">
        <v>1.8309138733658508</v>
      </c>
      <c r="AL21" s="30">
        <v>1.7210043446848522</v>
      </c>
      <c r="AM21" s="30">
        <v>1.6280023842523943</v>
      </c>
      <c r="AN21" s="30">
        <v>1.3062743047681067</v>
      </c>
      <c r="AO21" s="30" t="e">
        <v>#N/A</v>
      </c>
      <c r="AP21" s="30">
        <v>0.81133377777400795</v>
      </c>
      <c r="AQ21" s="30" t="e">
        <v>#N/A</v>
      </c>
      <c r="AR21" s="30">
        <v>0.3229223431120673</v>
      </c>
      <c r="AS21" s="30">
        <v>0.12225269682163641</v>
      </c>
      <c r="AT21" s="36">
        <v>0.18660663977084294</v>
      </c>
    </row>
    <row r="22" spans="2:65" x14ac:dyDescent="0.35">
      <c r="B22" s="47"/>
      <c r="C22" s="30" t="s">
        <v>44</v>
      </c>
      <c r="D22" s="35">
        <v>2.690962559075734</v>
      </c>
      <c r="E22" s="30">
        <v>2.6860843958685248</v>
      </c>
      <c r="F22" s="30">
        <v>2.6727055870563428</v>
      </c>
      <c r="G22" s="30">
        <v>2.6263978495086202</v>
      </c>
      <c r="H22" s="30">
        <v>2.473934314435398</v>
      </c>
      <c r="I22" s="30">
        <v>2.0507553605773641</v>
      </c>
      <c r="J22" s="30">
        <v>1.6471537776324086</v>
      </c>
      <c r="K22" s="30">
        <v>1.3686879720668972</v>
      </c>
      <c r="L22" s="30">
        <v>1.204346152788728</v>
      </c>
      <c r="M22" s="30">
        <v>0.8377812282078736</v>
      </c>
      <c r="N22" s="30">
        <v>0.67299226417980695</v>
      </c>
      <c r="O22" s="30">
        <v>0.34854320155298751</v>
      </c>
      <c r="P22" s="36">
        <v>0.48346735161785914</v>
      </c>
      <c r="AF22" s="47"/>
      <c r="AG22" s="30" t="s">
        <v>44</v>
      </c>
      <c r="AH22" s="35">
        <v>2.3514024725821061</v>
      </c>
      <c r="AI22" s="30">
        <v>2.2611069606070795</v>
      </c>
      <c r="AJ22" s="30">
        <v>2.1698687757452713</v>
      </c>
      <c r="AK22" s="30">
        <v>2.0026011860829436</v>
      </c>
      <c r="AL22" s="30">
        <v>1.8178082012392858</v>
      </c>
      <c r="AM22" s="30">
        <v>1.6333284127529617</v>
      </c>
      <c r="AN22" s="30">
        <v>1.4936121715888717</v>
      </c>
      <c r="AO22" s="30" t="e">
        <v>#N/A</v>
      </c>
      <c r="AP22" s="30">
        <v>1.1462036394431427</v>
      </c>
      <c r="AQ22" s="30" t="e">
        <v>#N/A</v>
      </c>
      <c r="AR22" s="30">
        <v>0.48925124266103109</v>
      </c>
      <c r="AS22" s="30">
        <v>0.16153984183675063</v>
      </c>
      <c r="AT22" s="36">
        <v>5.9680318071155897E-2</v>
      </c>
    </row>
    <row r="23" spans="2:65" x14ac:dyDescent="0.35">
      <c r="B23" s="47"/>
      <c r="C23" s="30" t="s">
        <v>69</v>
      </c>
      <c r="D23" s="35">
        <v>2.8348772559485482</v>
      </c>
      <c r="E23" s="30">
        <v>2.8333153166544611</v>
      </c>
      <c r="F23" s="30">
        <v>2.8278744362260846</v>
      </c>
      <c r="G23" s="30">
        <v>2.804522216644409</v>
      </c>
      <c r="H23" s="30">
        <v>2.7067417766280739</v>
      </c>
      <c r="I23" s="30">
        <v>2.3363756734954739</v>
      </c>
      <c r="J23" s="30">
        <v>1.824736178502318</v>
      </c>
      <c r="K23" s="30">
        <v>1.3625964138300863</v>
      </c>
      <c r="L23" s="30">
        <v>1.1267665740447463</v>
      </c>
      <c r="M23" s="30">
        <v>0.82035946851331576</v>
      </c>
      <c r="N23" s="30">
        <v>0.7446094210706331</v>
      </c>
      <c r="O23" s="30">
        <v>0.6668990818236078</v>
      </c>
      <c r="P23" s="36">
        <v>0.70863500556886228</v>
      </c>
      <c r="AF23" s="47"/>
      <c r="AG23" s="30" t="s">
        <v>69</v>
      </c>
      <c r="AH23" s="35">
        <v>2.7299667729847688</v>
      </c>
      <c r="AI23" s="30">
        <v>2.4831520840888293</v>
      </c>
      <c r="AJ23" s="30">
        <v>2.2799208603291934</v>
      </c>
      <c r="AK23" s="30">
        <v>2.1483857025781061</v>
      </c>
      <c r="AL23" s="30">
        <v>2.155226647662269</v>
      </c>
      <c r="AM23" s="30">
        <v>1.8795994277697132</v>
      </c>
      <c r="AN23" s="30">
        <v>1.6032654860860913</v>
      </c>
      <c r="AO23" s="30" t="e">
        <v>#N/A</v>
      </c>
      <c r="AP23" s="30">
        <v>1.1236089591764289</v>
      </c>
      <c r="AQ23" s="30" t="e">
        <v>#N/A</v>
      </c>
      <c r="AR23" s="30">
        <v>0.61603972523224659</v>
      </c>
      <c r="AS23" s="30">
        <v>0.3946636630018025</v>
      </c>
      <c r="AT23" s="36">
        <v>0.5543406093729738</v>
      </c>
    </row>
    <row r="24" spans="2:65" x14ac:dyDescent="0.35">
      <c r="B24" s="47"/>
      <c r="C24" s="30" t="s">
        <v>94</v>
      </c>
      <c r="D24" s="35">
        <v>1.0386529354348206</v>
      </c>
      <c r="E24" s="30">
        <v>1.0387611174616165</v>
      </c>
      <c r="F24" s="30">
        <v>1.0391498175862508</v>
      </c>
      <c r="G24" s="30">
        <v>1.0406827547805149</v>
      </c>
      <c r="H24" s="30">
        <v>1.0456175128724128</v>
      </c>
      <c r="I24" s="30">
        <v>1.0531616785871607</v>
      </c>
      <c r="J24" s="30">
        <v>1.0336029703651257</v>
      </c>
      <c r="K24" s="30">
        <v>0.95865855417216017</v>
      </c>
      <c r="L24" s="30">
        <v>0.87713027652362208</v>
      </c>
      <c r="M24" s="30">
        <v>0.67146210748598167</v>
      </c>
      <c r="N24" s="30">
        <v>0.57939461108385482</v>
      </c>
      <c r="O24" s="30">
        <v>0.37194880038804251</v>
      </c>
      <c r="P24" s="36">
        <v>0.19780001544036618</v>
      </c>
      <c r="AF24" s="47"/>
      <c r="AG24" s="30" t="s">
        <v>94</v>
      </c>
      <c r="AH24" s="35">
        <v>1.2148293521647173</v>
      </c>
      <c r="AI24" s="30">
        <v>0.69628632239910471</v>
      </c>
      <c r="AJ24" s="30">
        <v>0.89032663640409426</v>
      </c>
      <c r="AK24" s="30">
        <v>1.1064633428333854</v>
      </c>
      <c r="AL24" s="30">
        <v>1.109308526195341</v>
      </c>
      <c r="AM24" s="30">
        <v>1.0091152416794362</v>
      </c>
      <c r="AN24" s="30">
        <v>1.002564375963505</v>
      </c>
      <c r="AO24" s="30" t="e">
        <v>#N/A</v>
      </c>
      <c r="AP24" s="30">
        <v>0.63007057873168393</v>
      </c>
      <c r="AQ24" s="30" t="e">
        <v>#N/A</v>
      </c>
      <c r="AR24" s="30">
        <v>0.19362876985368344</v>
      </c>
      <c r="AS24" s="30">
        <v>0.30521052114660652</v>
      </c>
      <c r="AT24" s="36">
        <v>0.30060611049862929</v>
      </c>
    </row>
    <row r="25" spans="2:65" x14ac:dyDescent="0.35">
      <c r="B25" s="47"/>
      <c r="C25" s="30" t="s">
        <v>119</v>
      </c>
      <c r="D25" s="35">
        <v>1.3566590136613652</v>
      </c>
      <c r="E25" s="30">
        <v>1.3595989945664835</v>
      </c>
      <c r="F25" s="30">
        <v>1.3658263784468041</v>
      </c>
      <c r="G25" s="30">
        <v>1.3836026387781648</v>
      </c>
      <c r="H25" s="30">
        <v>1.4339177703725834</v>
      </c>
      <c r="I25" s="30">
        <v>1.5680744279333221</v>
      </c>
      <c r="J25" s="30">
        <v>1.7048807847173502</v>
      </c>
      <c r="K25" s="30">
        <v>1.7606950065664746</v>
      </c>
      <c r="L25" s="30">
        <v>1.722511903871577</v>
      </c>
      <c r="M25" s="30">
        <v>1.4466377516128743</v>
      </c>
      <c r="N25" s="30">
        <v>1.2582828458187232</v>
      </c>
      <c r="O25" s="30">
        <v>0.6875441793428605</v>
      </c>
      <c r="P25" s="36">
        <v>0.32567841569744099</v>
      </c>
      <c r="AF25" s="47"/>
      <c r="AG25" s="30" t="s">
        <v>119</v>
      </c>
      <c r="AH25" s="35">
        <v>1.3428814735164696</v>
      </c>
      <c r="AI25" s="30">
        <v>1.4968788978096992</v>
      </c>
      <c r="AJ25" s="30">
        <v>1.4641057140074543</v>
      </c>
      <c r="AK25" s="30">
        <v>1.3106149072117299</v>
      </c>
      <c r="AL25" s="30">
        <v>1.4572907470071732</v>
      </c>
      <c r="AM25" s="30">
        <v>1.39545241458203</v>
      </c>
      <c r="AN25" s="30">
        <v>1.4502599125299953</v>
      </c>
      <c r="AO25" s="30" t="e">
        <v>#N/A</v>
      </c>
      <c r="AP25" s="30">
        <v>1.318812967265873</v>
      </c>
      <c r="AQ25" s="30" t="e">
        <v>#N/A</v>
      </c>
      <c r="AR25" s="30">
        <v>0.90797545661670165</v>
      </c>
      <c r="AS25" s="30">
        <v>0.50646240014954413</v>
      </c>
      <c r="AT25" s="36">
        <v>0.2677390401080188</v>
      </c>
    </row>
    <row r="26" spans="2:65" x14ac:dyDescent="0.35">
      <c r="B26" s="47"/>
      <c r="C26" s="30" t="s">
        <v>144</v>
      </c>
      <c r="D26" s="35">
        <v>2.6258579339184882</v>
      </c>
      <c r="E26" s="30">
        <v>2.6256586761728822</v>
      </c>
      <c r="F26" s="30">
        <v>2.6245725380543559</v>
      </c>
      <c r="G26" s="30">
        <v>2.6178572793985588</v>
      </c>
      <c r="H26" s="30">
        <v>2.577900688276658</v>
      </c>
      <c r="I26" s="30">
        <v>2.3616376663286829</v>
      </c>
      <c r="J26" s="30">
        <v>1.962043689615721</v>
      </c>
      <c r="K26" s="30">
        <v>1.5050917588298338</v>
      </c>
      <c r="L26" s="30">
        <v>1.2250386421037094</v>
      </c>
      <c r="M26" s="30">
        <v>0.768454487606819</v>
      </c>
      <c r="N26" s="30">
        <v>0.61075673015593013</v>
      </c>
      <c r="O26" s="30">
        <v>0.28928003271536323</v>
      </c>
      <c r="P26" s="36">
        <v>3.8658855250717321E-2</v>
      </c>
      <c r="AF26" s="47"/>
      <c r="AG26" s="30" t="s">
        <v>144</v>
      </c>
      <c r="AH26" s="35">
        <v>2.2179632632464608</v>
      </c>
      <c r="AI26" s="30">
        <v>2.2698301508703178</v>
      </c>
      <c r="AJ26" s="30">
        <v>2.1438151755586499</v>
      </c>
      <c r="AK26" s="30">
        <v>2.1503284090937158</v>
      </c>
      <c r="AL26" s="30">
        <v>1.99267771659699</v>
      </c>
      <c r="AM26" s="30">
        <v>1.7836872322430022</v>
      </c>
      <c r="AN26" s="30">
        <v>1.6343791713028692</v>
      </c>
      <c r="AO26" s="30" t="e">
        <v>#N/A</v>
      </c>
      <c r="AP26" s="30">
        <v>1.1094288713066096</v>
      </c>
      <c r="AQ26" s="30" t="e">
        <v>#N/A</v>
      </c>
      <c r="AR26" s="30">
        <v>0.47281856314446863</v>
      </c>
      <c r="AS26" s="30">
        <v>0.23812161870075277</v>
      </c>
      <c r="AT26" s="36">
        <v>7.7273250797988885E-2</v>
      </c>
    </row>
    <row r="27" spans="2:65" x14ac:dyDescent="0.35">
      <c r="B27" s="47"/>
      <c r="C27" s="30" t="s">
        <v>169</v>
      </c>
      <c r="D27" s="35">
        <v>0.88640367697634381</v>
      </c>
      <c r="E27" s="30">
        <v>0.88592400168256147</v>
      </c>
      <c r="F27" s="30">
        <v>0.88419543406288537</v>
      </c>
      <c r="G27" s="30">
        <v>0.87657191679573643</v>
      </c>
      <c r="H27" s="30">
        <v>0.8432325643941313</v>
      </c>
      <c r="I27" s="30">
        <v>0.70265229706230481</v>
      </c>
      <c r="J27" s="30">
        <v>0.46771954012017625</v>
      </c>
      <c r="K27" s="30">
        <v>0.19367706556633596</v>
      </c>
      <c r="L27" s="30">
        <v>3.9626929092787283E-2</v>
      </c>
      <c r="M27" s="30">
        <v>0.29495717462341703</v>
      </c>
      <c r="N27" s="30">
        <v>0.39248611161983382</v>
      </c>
      <c r="O27" s="30">
        <v>0.53968442612175105</v>
      </c>
      <c r="P27" s="36">
        <v>0.48880099162119228</v>
      </c>
      <c r="AF27" s="47"/>
      <c r="AG27" s="30" t="s">
        <v>169</v>
      </c>
      <c r="AH27" s="35">
        <v>0.85961500093672782</v>
      </c>
      <c r="AI27" s="30">
        <v>0.87444808609411517</v>
      </c>
      <c r="AJ27" s="30">
        <v>0.86435438812264687</v>
      </c>
      <c r="AK27" s="30">
        <v>0.81053382919379635</v>
      </c>
      <c r="AL27" s="30">
        <v>0.6902288819372252</v>
      </c>
      <c r="AM27" s="30">
        <v>0.60276265960345632</v>
      </c>
      <c r="AN27" s="30">
        <v>0.42480187374844108</v>
      </c>
      <c r="AO27" s="30" t="e">
        <v>#N/A</v>
      </c>
      <c r="AP27" s="30">
        <v>0.2929190205240994</v>
      </c>
      <c r="AQ27" s="30" t="e">
        <v>#N/A</v>
      </c>
      <c r="AR27" s="30">
        <v>0.31826554613384839</v>
      </c>
      <c r="AS27" s="30">
        <v>0.44364605186085532</v>
      </c>
      <c r="AT27" s="36">
        <v>0.44993544115699358</v>
      </c>
    </row>
    <row r="28" spans="2:65" x14ac:dyDescent="0.35">
      <c r="B28" s="47"/>
      <c r="C28" s="30" t="s">
        <v>194</v>
      </c>
      <c r="D28" s="35">
        <v>1.7500922413632165</v>
      </c>
      <c r="E28" s="30">
        <v>1.7473809883782541</v>
      </c>
      <c r="F28" s="30">
        <v>1.739609497951625</v>
      </c>
      <c r="G28" s="30">
        <v>1.7121053341563155</v>
      </c>
      <c r="H28" s="30">
        <v>1.619703822959959</v>
      </c>
      <c r="I28" s="30">
        <v>1.3445934184113453</v>
      </c>
      <c r="J28" s="30">
        <v>1.0244905146585817</v>
      </c>
      <c r="K28" s="30">
        <v>0.75463553723125287</v>
      </c>
      <c r="L28" s="30">
        <v>0.61753965979725278</v>
      </c>
      <c r="M28" s="30">
        <v>0.43841992985915673</v>
      </c>
      <c r="N28" s="30">
        <v>0.39395663877386633</v>
      </c>
      <c r="O28" s="30">
        <v>0.34367965730825373</v>
      </c>
      <c r="P28" s="36">
        <v>0.3549409856978249</v>
      </c>
      <c r="AF28" s="47"/>
      <c r="AG28" s="30" t="s">
        <v>194</v>
      </c>
      <c r="AH28" s="35">
        <v>1.8845165627569951</v>
      </c>
      <c r="AI28" s="30">
        <v>1.4608262100678351</v>
      </c>
      <c r="AJ28" s="30">
        <v>1.4250950565972607</v>
      </c>
      <c r="AK28" s="30">
        <v>1.2437973795757613</v>
      </c>
      <c r="AL28" s="30">
        <v>1.194269022792005</v>
      </c>
      <c r="AM28" s="30">
        <v>1.0514853618215396</v>
      </c>
      <c r="AN28" s="30">
        <v>0.87625274009883236</v>
      </c>
      <c r="AO28" s="30" t="e">
        <v>#N/A</v>
      </c>
      <c r="AP28" s="30">
        <v>0.7226626130870174</v>
      </c>
      <c r="AQ28" s="30" t="e">
        <v>#N/A</v>
      </c>
      <c r="AR28" s="30">
        <v>0.6156984730031464</v>
      </c>
      <c r="AS28" s="30">
        <v>0.26493106830432345</v>
      </c>
      <c r="AT28" s="36">
        <v>0.13764554788468256</v>
      </c>
      <c r="AY28" t="str">
        <f>_xlfn.CONCAT(AY24:AY26)</f>
        <v/>
      </c>
    </row>
    <row r="29" spans="2:65" x14ac:dyDescent="0.35">
      <c r="B29" s="47"/>
      <c r="C29" s="30" t="s">
        <v>218</v>
      </c>
      <c r="D29" s="42">
        <v>1.9465751022468336</v>
      </c>
      <c r="E29">
        <v>1.9629187679746738</v>
      </c>
      <c r="F29">
        <v>1.9916573921443637</v>
      </c>
      <c r="G29">
        <v>2.0616172859247377</v>
      </c>
      <c r="H29">
        <v>2.2186656563855336</v>
      </c>
      <c r="I29">
        <v>2.4785449993692104</v>
      </c>
      <c r="J29">
        <v>2.5632481477922231</v>
      </c>
      <c r="K29">
        <v>2.43240610758231</v>
      </c>
      <c r="L29">
        <v>2.2399753673994982</v>
      </c>
      <c r="M29">
        <v>1.6664041153293059</v>
      </c>
      <c r="N29">
        <v>1.376340750922286</v>
      </c>
      <c r="O29">
        <v>0.68838252191760285</v>
      </c>
      <c r="P29">
        <v>0.65125315325498023</v>
      </c>
      <c r="AF29" s="47"/>
      <c r="AG29" s="30" t="s">
        <v>218</v>
      </c>
      <c r="AH29" s="35">
        <v>1.9056686874388216</v>
      </c>
      <c r="AI29" s="30">
        <v>1.9237318413151356</v>
      </c>
      <c r="AJ29" s="30">
        <v>1.886628199003263</v>
      </c>
      <c r="AK29" s="30">
        <v>1.6964022164474848</v>
      </c>
      <c r="AL29" s="30">
        <v>1.9088426789468576</v>
      </c>
      <c r="AM29" s="30">
        <v>1.4916872621545225</v>
      </c>
      <c r="AN29" s="30">
        <v>1.9695509945391778</v>
      </c>
      <c r="AO29" s="30" t="e">
        <v>#N/A</v>
      </c>
      <c r="AP29" s="30">
        <v>1.6003686683031231</v>
      </c>
      <c r="AQ29" s="30" t="e">
        <v>#N/A</v>
      </c>
      <c r="AR29" s="30">
        <v>1.1820320200724259</v>
      </c>
      <c r="AS29" s="30">
        <v>0.61794209294524582</v>
      </c>
      <c r="AT29" s="36">
        <v>0.42579544951194331</v>
      </c>
    </row>
    <row r="30" spans="2:65" x14ac:dyDescent="0.35">
      <c r="B30" s="47"/>
      <c r="C30" s="30" t="s">
        <v>243</v>
      </c>
      <c r="D30" s="35">
        <v>1.1524609489631295</v>
      </c>
      <c r="E30" s="30">
        <v>1.1524609490273516</v>
      </c>
      <c r="F30" s="30">
        <v>1.1524609528355667</v>
      </c>
      <c r="G30" s="30">
        <v>1.152461182253413</v>
      </c>
      <c r="H30" s="30">
        <v>1.1524749424806831</v>
      </c>
      <c r="I30" s="30">
        <v>1.1532752529599284</v>
      </c>
      <c r="J30" s="30">
        <v>1.1610973488534029</v>
      </c>
      <c r="K30" s="30">
        <v>1.1888492443747825</v>
      </c>
      <c r="L30" s="30">
        <v>1.2182336739890751</v>
      </c>
      <c r="M30" s="30">
        <v>1.2349466060263521</v>
      </c>
      <c r="N30" s="30">
        <v>1.1804316267501813</v>
      </c>
      <c r="O30" s="30">
        <v>0.77434882908054148</v>
      </c>
      <c r="P30" s="36">
        <v>0.16572038048502666</v>
      </c>
      <c r="AF30" s="47"/>
      <c r="AG30" s="30" t="s">
        <v>243</v>
      </c>
      <c r="AH30" s="35">
        <v>0.66249500000000006</v>
      </c>
      <c r="AI30" s="30">
        <v>0.45183249999999991</v>
      </c>
      <c r="AJ30" s="30">
        <v>0.74324300000000032</v>
      </c>
      <c r="AK30" s="30">
        <v>0.77033199999999913</v>
      </c>
      <c r="AL30" s="30">
        <v>0.84683699999999973</v>
      </c>
      <c r="AM30" s="30">
        <v>0.82548900000000081</v>
      </c>
      <c r="AN30" s="30">
        <v>0.91173599999999999</v>
      </c>
      <c r="AO30" s="30" t="e">
        <v>#N/A</v>
      </c>
      <c r="AP30" s="30">
        <v>0.84045649999999994</v>
      </c>
      <c r="AQ30" s="30" t="e">
        <v>#N/A</v>
      </c>
      <c r="AR30" s="30">
        <v>0.8235540000000009</v>
      </c>
      <c r="AS30" s="30">
        <v>0.57570549999999998</v>
      </c>
      <c r="AT30" s="36">
        <v>0.12950000000000081</v>
      </c>
    </row>
    <row r="31" spans="2:65" x14ac:dyDescent="0.35">
      <c r="B31" s="47"/>
      <c r="C31" s="30" t="s">
        <v>268</v>
      </c>
      <c r="D31" s="35">
        <v>0.96370102576739547</v>
      </c>
      <c r="E31" s="30">
        <v>0.96370102577584915</v>
      </c>
      <c r="F31" s="30">
        <v>0.96370102510646083</v>
      </c>
      <c r="G31" s="30">
        <v>0.9637009234968289</v>
      </c>
      <c r="H31" s="30">
        <v>0.96369142691639853</v>
      </c>
      <c r="I31" s="30">
        <v>0.96293018559665011</v>
      </c>
      <c r="J31" s="30">
        <v>0.95356159764651094</v>
      </c>
      <c r="K31" s="30">
        <v>0.91017253261120901</v>
      </c>
      <c r="L31" s="30">
        <v>0.8460953959341585</v>
      </c>
      <c r="M31" s="30">
        <v>0.6323517780883634</v>
      </c>
      <c r="N31" s="30">
        <v>0.52661151467370004</v>
      </c>
      <c r="O31" s="30">
        <v>0.28639203645626221</v>
      </c>
      <c r="P31" s="36">
        <v>0.25745019680758452</v>
      </c>
      <c r="AF31" s="47"/>
      <c r="AG31" s="30" t="s">
        <v>268</v>
      </c>
      <c r="AH31" s="35">
        <v>0.71920103282786418</v>
      </c>
      <c r="AI31" s="30">
        <v>0.76635879106083216</v>
      </c>
      <c r="AJ31" s="30">
        <v>0.72983358469463588</v>
      </c>
      <c r="AK31" s="30">
        <v>0.84936684410722396</v>
      </c>
      <c r="AL31" s="30">
        <v>0.92558726232028266</v>
      </c>
      <c r="AM31" s="30">
        <v>0.81085680890044998</v>
      </c>
      <c r="AN31" s="30">
        <v>0.66952373557942013</v>
      </c>
      <c r="AO31" s="30" t="e">
        <v>#N/A</v>
      </c>
      <c r="AP31" s="30">
        <v>0.5490190502015585</v>
      </c>
      <c r="AQ31" s="30" t="e">
        <v>#N/A</v>
      </c>
      <c r="AR31" s="30">
        <v>0.4661523508792193</v>
      </c>
      <c r="AS31" s="30">
        <v>0.2887043039478282</v>
      </c>
      <c r="AT31" s="36">
        <v>0.14283553222733719</v>
      </c>
    </row>
    <row r="32" spans="2:65" x14ac:dyDescent="0.35">
      <c r="B32" s="47"/>
      <c r="C32" s="30" t="s">
        <v>291</v>
      </c>
      <c r="D32" s="35">
        <v>3.6095194866513434</v>
      </c>
      <c r="E32" s="30">
        <v>3.6089588658300462</v>
      </c>
      <c r="F32" s="30">
        <v>3.6064857056848174</v>
      </c>
      <c r="G32" s="30">
        <v>3.5933522133502662</v>
      </c>
      <c r="H32" s="30">
        <v>3.5232689728718194</v>
      </c>
      <c r="I32" s="30">
        <v>3.1591206530617435</v>
      </c>
      <c r="J32" s="30">
        <v>2.4636299372432315</v>
      </c>
      <c r="K32" s="30">
        <v>1.6339378995236857</v>
      </c>
      <c r="L32" s="30">
        <v>1.1376667060312169</v>
      </c>
      <c r="M32" s="30">
        <v>0.48930076997738864</v>
      </c>
      <c r="N32" s="30">
        <v>0.35510411924311469</v>
      </c>
      <c r="O32" s="30">
        <v>0.25029417044971797</v>
      </c>
      <c r="P32" s="36">
        <v>0.36051316587561583</v>
      </c>
      <c r="U32" t="str">
        <f>_xlfn.CONCAT(U28:U30)</f>
        <v/>
      </c>
      <c r="AF32" s="47"/>
      <c r="AG32" s="30" t="s">
        <v>291</v>
      </c>
      <c r="AH32" s="35">
        <v>2.896990252756209</v>
      </c>
      <c r="AI32" s="30">
        <v>3.2524418217958471</v>
      </c>
      <c r="AJ32" s="30">
        <v>2.2889803215204725</v>
      </c>
      <c r="AK32" s="30">
        <v>2.9310589252270898</v>
      </c>
      <c r="AL32" s="30">
        <v>2.1086026589824098</v>
      </c>
      <c r="AM32" s="30">
        <v>2.2639087855295941</v>
      </c>
      <c r="AN32" s="30">
        <v>1.5327059018425748</v>
      </c>
      <c r="AO32" s="30" t="e">
        <v>#N/A</v>
      </c>
      <c r="AP32" s="30">
        <v>1.1893826574192718</v>
      </c>
      <c r="AQ32" s="30" t="e">
        <v>#N/A</v>
      </c>
      <c r="AR32" s="30">
        <v>0.46220857137029453</v>
      </c>
      <c r="AS32" s="30">
        <v>0.28022821595316449</v>
      </c>
      <c r="AT32" s="36">
        <v>0.20606036805048053</v>
      </c>
      <c r="BM32" t="str">
        <f>_xlfn.CONCAT(BM28:BM30)</f>
        <v/>
      </c>
    </row>
    <row r="33" spans="2:46" x14ac:dyDescent="0.35">
      <c r="B33" s="47"/>
      <c r="C33" s="30" t="s">
        <v>316</v>
      </c>
      <c r="D33" s="35">
        <v>1.6364086730005758</v>
      </c>
      <c r="E33" s="30">
        <v>1.6365126482033485</v>
      </c>
      <c r="F33" s="30">
        <v>1.6370664132462853</v>
      </c>
      <c r="G33" s="30">
        <v>1.640314945493041</v>
      </c>
      <c r="H33" s="30">
        <v>1.6575169748057454</v>
      </c>
      <c r="I33" s="30">
        <v>1.7256824711524601</v>
      </c>
      <c r="J33" s="30">
        <v>1.7756665958547904</v>
      </c>
      <c r="K33" s="30">
        <v>1.6984592345102396</v>
      </c>
      <c r="L33" s="30">
        <v>1.5551791372241097</v>
      </c>
      <c r="M33" s="30">
        <v>1.1059736791858927</v>
      </c>
      <c r="N33" s="30">
        <v>0.88063270771851898</v>
      </c>
      <c r="O33" s="30">
        <v>0.32304542051683793</v>
      </c>
      <c r="P33" s="36">
        <v>0.32726520393420638</v>
      </c>
      <c r="AF33" s="47"/>
      <c r="AG33" s="30" t="s">
        <v>316</v>
      </c>
      <c r="AH33" s="35">
        <v>1.4124682399721589</v>
      </c>
      <c r="AI33" s="30">
        <v>1.2836928512043018</v>
      </c>
      <c r="AJ33" s="30">
        <v>1.3148920615012256</v>
      </c>
      <c r="AK33" s="30">
        <v>1.286591168067083</v>
      </c>
      <c r="AL33" s="30">
        <v>1.3489525436262055</v>
      </c>
      <c r="AM33" s="30">
        <v>1.2827388709834135</v>
      </c>
      <c r="AN33" s="30">
        <v>1.1796249477394227</v>
      </c>
      <c r="AO33" s="30" t="e">
        <v>#N/A</v>
      </c>
      <c r="AP33" s="30">
        <v>1.0032958032302035</v>
      </c>
      <c r="AQ33" s="30" t="e">
        <v>#N/A</v>
      </c>
      <c r="AR33" s="30">
        <v>0.6337428743596355</v>
      </c>
      <c r="AS33" s="30">
        <v>0.21834133808694534</v>
      </c>
      <c r="AT33" s="36">
        <v>0.20316916714042818</v>
      </c>
    </row>
    <row r="34" spans="2:46" x14ac:dyDescent="0.35">
      <c r="B34" s="48"/>
      <c r="C34" s="40" t="s">
        <v>340</v>
      </c>
      <c r="D34" s="39">
        <v>2.4128074199393446</v>
      </c>
      <c r="E34" s="40">
        <v>2.4122647247533147</v>
      </c>
      <c r="F34" s="40">
        <v>2.4098798557090602</v>
      </c>
      <c r="G34" s="40">
        <v>2.3977650539922779</v>
      </c>
      <c r="H34" s="40">
        <v>2.3390964038653177</v>
      </c>
      <c r="I34" s="40">
        <v>2.0840986635169911</v>
      </c>
      <c r="J34" s="40">
        <v>1.6887934586652997</v>
      </c>
      <c r="K34" s="40">
        <v>1.2942802420258961</v>
      </c>
      <c r="L34" s="40">
        <v>1.0768625256946656</v>
      </c>
      <c r="M34" s="40">
        <v>0.76758233645434026</v>
      </c>
      <c r="N34" s="40">
        <v>0.67604103629942003</v>
      </c>
      <c r="O34" s="40">
        <v>0.51367937769172523</v>
      </c>
      <c r="P34" s="41">
        <v>0.37066026880320013</v>
      </c>
      <c r="AF34" s="48"/>
      <c r="AG34" s="40" t="s">
        <v>340</v>
      </c>
      <c r="AH34" s="39">
        <v>1.6022299999999929</v>
      </c>
      <c r="AI34" s="40">
        <v>1.7887150000000147</v>
      </c>
      <c r="AJ34" s="40">
        <v>1.7299800000000123</v>
      </c>
      <c r="AK34" s="40">
        <v>1.5845099999999899</v>
      </c>
      <c r="AL34" s="40">
        <v>1.5577660000000024</v>
      </c>
      <c r="AM34" s="40">
        <v>1.5249265000000123</v>
      </c>
      <c r="AN34" s="40">
        <v>1.3946444999999839</v>
      </c>
      <c r="AO34" s="40" t="e">
        <v>#N/A</v>
      </c>
      <c r="AP34" s="40">
        <v>0.81791150000000012</v>
      </c>
      <c r="AQ34" s="40" t="e">
        <v>#N/A</v>
      </c>
      <c r="AR34" s="40">
        <v>0.39707299999999995</v>
      </c>
      <c r="AS34" s="40">
        <v>0.21511500000000117</v>
      </c>
      <c r="AT34" s="41">
        <v>0.38505499999999948</v>
      </c>
    </row>
    <row r="35" spans="2:46" x14ac:dyDescent="0.35">
      <c r="C35"/>
    </row>
    <row r="36" spans="2:46" x14ac:dyDescent="0.35">
      <c r="C36"/>
    </row>
    <row r="37" spans="2:46" x14ac:dyDescent="0.35">
      <c r="B37" s="30"/>
      <c r="C37" s="30"/>
      <c r="D37" s="31">
        <v>2000</v>
      </c>
      <c r="E37" s="32">
        <v>1500</v>
      </c>
      <c r="F37" s="32">
        <v>1250</v>
      </c>
      <c r="G37" s="32">
        <v>1000</v>
      </c>
      <c r="H37" s="32">
        <v>750</v>
      </c>
      <c r="I37" s="32">
        <v>500</v>
      </c>
      <c r="J37" s="32">
        <v>350</v>
      </c>
      <c r="K37" s="32">
        <v>250</v>
      </c>
      <c r="L37" s="32">
        <v>200</v>
      </c>
      <c r="M37" s="32">
        <v>125</v>
      </c>
      <c r="N37" s="32">
        <v>100</v>
      </c>
      <c r="O37" s="32">
        <v>50</v>
      </c>
      <c r="P37" s="33">
        <v>1.0000800000000001E-2</v>
      </c>
      <c r="AF37" s="30"/>
      <c r="AG37" s="30"/>
      <c r="AH37" s="31">
        <v>2000</v>
      </c>
      <c r="AI37" s="32">
        <v>1500</v>
      </c>
      <c r="AJ37" s="32">
        <v>1250</v>
      </c>
      <c r="AK37" s="32">
        <v>1000</v>
      </c>
      <c r="AL37" s="32">
        <v>750</v>
      </c>
      <c r="AM37" s="32">
        <v>500</v>
      </c>
      <c r="AN37" s="32">
        <v>350</v>
      </c>
      <c r="AO37" s="32">
        <v>250</v>
      </c>
      <c r="AP37" s="32">
        <v>200</v>
      </c>
      <c r="AQ37" s="32">
        <v>125</v>
      </c>
      <c r="AR37" s="32">
        <v>100</v>
      </c>
      <c r="AS37" s="32">
        <v>50</v>
      </c>
      <c r="AT37" s="33">
        <v>1.0000800000000001E-2</v>
      </c>
    </row>
    <row r="38" spans="2:46" ht="15" customHeight="1" x14ac:dyDescent="0.35">
      <c r="B38" s="46" t="s">
        <v>871</v>
      </c>
      <c r="C38" s="34" t="s">
        <v>854</v>
      </c>
      <c r="D38">
        <v>4.1200113709132058</v>
      </c>
      <c r="E38">
        <v>4.1200107686443195</v>
      </c>
      <c r="F38">
        <v>4.1200041065522663</v>
      </c>
      <c r="G38">
        <v>4.1199224048544725</v>
      </c>
      <c r="H38">
        <v>4.118872907618762</v>
      </c>
      <c r="I38">
        <v>4.1042093019176944</v>
      </c>
      <c r="J38">
        <v>4.0368586830410793</v>
      </c>
      <c r="K38">
        <v>3.8531926949874489</v>
      </c>
      <c r="L38">
        <v>3.6332576010933142</v>
      </c>
      <c r="M38">
        <v>2.8942892506459481</v>
      </c>
      <c r="N38">
        <v>2.4527459119778956</v>
      </c>
      <c r="O38">
        <v>1.0890701125304911</v>
      </c>
      <c r="P38">
        <v>-1.0926496246640498</v>
      </c>
      <c r="AF38" s="46" t="s">
        <v>872</v>
      </c>
      <c r="AG38" s="34" t="s">
        <v>854</v>
      </c>
      <c r="AH38" s="35">
        <v>3.2948229569059739</v>
      </c>
      <c r="AI38" s="30">
        <v>3.565192588894321</v>
      </c>
      <c r="AJ38" s="30">
        <v>3.7551597252890523</v>
      </c>
      <c r="AK38" s="30">
        <v>3.8852462958268505</v>
      </c>
      <c r="AL38" s="30">
        <v>3.8648127764457292</v>
      </c>
      <c r="AM38" s="30">
        <v>3.8695962602263227</v>
      </c>
      <c r="AN38" s="30" t="e">
        <v>#N/A</v>
      </c>
      <c r="AO38" s="30">
        <v>3.6137898331079752</v>
      </c>
      <c r="AP38" s="30" t="e">
        <v>#N/A</v>
      </c>
      <c r="AQ38" s="30">
        <v>2.9447070488263631</v>
      </c>
      <c r="AR38" s="30" t="e">
        <v>#N/A</v>
      </c>
      <c r="AS38" s="30">
        <v>1.2015799147830415</v>
      </c>
      <c r="AT38" s="36">
        <v>-0.95559377148846258</v>
      </c>
    </row>
    <row r="39" spans="2:46" x14ac:dyDescent="0.35">
      <c r="B39" s="47"/>
      <c r="C39" s="37" t="s">
        <v>856</v>
      </c>
      <c r="D39" s="35">
        <v>4.1209228705209986</v>
      </c>
      <c r="E39" s="30">
        <v>4.1208370267479335</v>
      </c>
      <c r="F39" s="30">
        <v>4.1204532708314421</v>
      </c>
      <c r="G39" s="30">
        <v>4.1183474395859569</v>
      </c>
      <c r="H39" s="30">
        <v>4.1063887686899587</v>
      </c>
      <c r="I39" s="30">
        <v>4.0359820553753245</v>
      </c>
      <c r="J39" s="30">
        <v>3.8710214219259838</v>
      </c>
      <c r="K39" s="30">
        <v>3.5971109169714319</v>
      </c>
      <c r="L39" s="30">
        <v>3.3490822233163624</v>
      </c>
      <c r="M39" s="30">
        <v>2.6642145542746496</v>
      </c>
      <c r="N39" s="30">
        <v>2.2780813027667932</v>
      </c>
      <c r="O39" s="30">
        <v>1.0543239052778546</v>
      </c>
      <c r="P39" s="36">
        <v>-0.89426080125513996</v>
      </c>
      <c r="AF39" s="47"/>
      <c r="AG39" s="37" t="s">
        <v>856</v>
      </c>
      <c r="AH39" s="35">
        <v>3.4169766321957025</v>
      </c>
      <c r="AI39" s="30">
        <v>3.5109717412559678</v>
      </c>
      <c r="AJ39" s="30">
        <v>3.9078723634942891</v>
      </c>
      <c r="AK39" s="30">
        <v>3.7869977854571739</v>
      </c>
      <c r="AL39" s="30">
        <v>3.9398977337137451</v>
      </c>
      <c r="AM39" s="30">
        <v>3.7266639601435201</v>
      </c>
      <c r="AN39" s="30">
        <v>3.0749260500000002</v>
      </c>
      <c r="AO39" s="30">
        <v>3.6963792346439099</v>
      </c>
      <c r="AP39" s="30">
        <v>2.87045605</v>
      </c>
      <c r="AQ39" s="30">
        <v>2.877500033719278</v>
      </c>
      <c r="AR39" s="30">
        <v>2.1921556999999998</v>
      </c>
      <c r="AS39" s="30">
        <v>1.1100529950147628</v>
      </c>
      <c r="AT39" s="36">
        <v>-1.0377116315104908</v>
      </c>
    </row>
    <row r="40" spans="2:46" x14ac:dyDescent="0.35">
      <c r="B40" s="47"/>
      <c r="C40" s="37" t="s">
        <v>857</v>
      </c>
      <c r="D40" s="35">
        <v>6.5230476747530002</v>
      </c>
      <c r="E40" s="30">
        <v>6.5230363903256059</v>
      </c>
      <c r="F40" s="30">
        <v>6.5229608077693877</v>
      </c>
      <c r="G40" s="30">
        <v>6.5223678684921209</v>
      </c>
      <c r="H40" s="30">
        <v>6.5173698253759902</v>
      </c>
      <c r="I40" s="30">
        <v>6.4701090365907525</v>
      </c>
      <c r="J40" s="30">
        <v>6.3013080650892217</v>
      </c>
      <c r="K40" s="30">
        <v>5.9179940039776726</v>
      </c>
      <c r="L40" s="30">
        <v>5.5091483866423179</v>
      </c>
      <c r="M40" s="30">
        <v>4.3065260823199401</v>
      </c>
      <c r="N40" s="30">
        <v>3.6564175594171764</v>
      </c>
      <c r="O40" s="30">
        <v>1.8447887652622583</v>
      </c>
      <c r="P40" s="36">
        <v>-0.57650731671348865</v>
      </c>
      <c r="AF40" s="47"/>
      <c r="AG40" s="37" t="s">
        <v>857</v>
      </c>
      <c r="AH40" s="35">
        <v>5.8833488453875864</v>
      </c>
      <c r="AI40" s="30">
        <v>6.3401300003329837</v>
      </c>
      <c r="AJ40" s="30">
        <v>6.606318796941121</v>
      </c>
      <c r="AK40" s="30">
        <v>6.8794905458951066</v>
      </c>
      <c r="AL40" s="30">
        <v>6.8913244923069064</v>
      </c>
      <c r="AM40" s="30">
        <v>6.7940317160488322</v>
      </c>
      <c r="AN40" s="30" t="e">
        <v>#N/A</v>
      </c>
      <c r="AO40" s="30">
        <v>5.9471838224085909</v>
      </c>
      <c r="AP40" s="30" t="e">
        <v>#N/A</v>
      </c>
      <c r="AQ40" s="30">
        <v>4.2467216720383272</v>
      </c>
      <c r="AR40" s="30" t="e">
        <v>#N/A</v>
      </c>
      <c r="AS40" s="30">
        <v>1.7333972782076021</v>
      </c>
      <c r="AT40" s="36">
        <v>-0.54446389883781976</v>
      </c>
    </row>
    <row r="41" spans="2:46" x14ac:dyDescent="0.35">
      <c r="B41" s="47"/>
      <c r="C41" s="37" t="s">
        <v>858</v>
      </c>
      <c r="D41" s="35">
        <v>0.88288919582519043</v>
      </c>
      <c r="E41" s="30">
        <v>0.88289035808734406</v>
      </c>
      <c r="F41" s="30">
        <v>0.88288045595407671</v>
      </c>
      <c r="G41" s="30">
        <v>0.88280538963855026</v>
      </c>
      <c r="H41" s="30">
        <v>0.88223741673642231</v>
      </c>
      <c r="I41" s="30">
        <v>0.87799615597738911</v>
      </c>
      <c r="J41" s="30">
        <v>0.86682034905229366</v>
      </c>
      <c r="K41" s="30">
        <v>0.84707838260161938</v>
      </c>
      <c r="L41" s="30">
        <v>0.82758300493003445</v>
      </c>
      <c r="M41" s="30">
        <v>0.75620762888739723</v>
      </c>
      <c r="N41" s="30">
        <v>0.70082306996634969</v>
      </c>
      <c r="O41" s="30">
        <v>0.43485861521205144</v>
      </c>
      <c r="P41" s="36">
        <v>-0.62124268887790013</v>
      </c>
      <c r="AF41" s="47"/>
      <c r="AG41" s="37" t="s">
        <v>858</v>
      </c>
      <c r="AH41" s="35">
        <v>0.89326704567972903</v>
      </c>
      <c r="AI41" s="30">
        <v>0.87074224971944902</v>
      </c>
      <c r="AJ41" s="30">
        <v>0.82228167532171537</v>
      </c>
      <c r="AK41" s="30">
        <v>0.90139540100408111</v>
      </c>
      <c r="AL41" s="30">
        <v>0.91020695995495737</v>
      </c>
      <c r="AM41" s="30">
        <v>0.87046004716212289</v>
      </c>
      <c r="AN41" s="30">
        <v>0.37534707145833335</v>
      </c>
      <c r="AO41" s="30">
        <v>0.9297938549454603</v>
      </c>
      <c r="AP41" s="30">
        <v>0.44382663645833331</v>
      </c>
      <c r="AQ41" s="30">
        <v>0.84286062469797496</v>
      </c>
      <c r="AR41" s="30">
        <v>0.32440918125000001</v>
      </c>
      <c r="AS41" s="30">
        <v>0.41396207854116546</v>
      </c>
      <c r="AT41" s="36">
        <v>-0.63229223117097533</v>
      </c>
    </row>
    <row r="42" spans="2:46" x14ac:dyDescent="0.35">
      <c r="B42" s="47"/>
      <c r="C42" s="37" t="s">
        <v>859</v>
      </c>
      <c r="D42" s="35">
        <v>1.0742978087117749</v>
      </c>
      <c r="E42" s="30">
        <v>1.0742978087116257</v>
      </c>
      <c r="F42" s="30">
        <v>1.0742978086931569</v>
      </c>
      <c r="G42" s="30">
        <v>1.0742978063900139</v>
      </c>
      <c r="H42" s="30">
        <v>1.0742975188427453</v>
      </c>
      <c r="I42" s="30">
        <v>1.0742612223657202</v>
      </c>
      <c r="J42" s="30">
        <v>1.0736087716359037</v>
      </c>
      <c r="K42" s="30">
        <v>1.0202263091243675</v>
      </c>
      <c r="L42" s="30">
        <v>1.060102960449181</v>
      </c>
      <c r="M42" s="30">
        <v>0.99641331337052919</v>
      </c>
      <c r="N42" s="30">
        <v>0.9265370605854808</v>
      </c>
      <c r="O42" s="30">
        <v>0.5641223406646042</v>
      </c>
      <c r="P42" s="36">
        <v>-0.77348768833261072</v>
      </c>
      <c r="AF42" s="47"/>
      <c r="AG42" s="37" t="s">
        <v>859</v>
      </c>
      <c r="AH42" s="35">
        <v>0.82246395727198751</v>
      </c>
      <c r="AI42" s="30">
        <v>0.84192366838631505</v>
      </c>
      <c r="AJ42" s="30">
        <v>0.87532451690326041</v>
      </c>
      <c r="AK42" s="30">
        <v>0.92778692324134848</v>
      </c>
      <c r="AL42" s="30">
        <v>0.95799809986887341</v>
      </c>
      <c r="AM42" s="30">
        <v>0.99144629170733722</v>
      </c>
      <c r="AN42" s="30" t="e">
        <v>#N/A</v>
      </c>
      <c r="AO42" s="30">
        <v>1.0109473892418375</v>
      </c>
      <c r="AP42" s="30" t="e">
        <v>#N/A</v>
      </c>
      <c r="AQ42" s="30">
        <v>0.95860921801143151</v>
      </c>
      <c r="AR42" s="30" t="e">
        <v>#N/A</v>
      </c>
      <c r="AS42" s="30">
        <v>0.47808223764046581</v>
      </c>
      <c r="AT42" s="36">
        <v>-0.81728947462690926</v>
      </c>
    </row>
    <row r="43" spans="2:46" x14ac:dyDescent="0.35">
      <c r="B43" s="47"/>
      <c r="C43" s="37" t="s">
        <v>860</v>
      </c>
      <c r="D43" s="35">
        <v>1.9980961670360464</v>
      </c>
      <c r="E43" s="30">
        <v>1.9980960773409659</v>
      </c>
      <c r="F43" s="30">
        <v>1.9980947042657562</v>
      </c>
      <c r="G43" s="30">
        <v>1.9980723868065711</v>
      </c>
      <c r="H43" s="30">
        <v>1.9977089843255686</v>
      </c>
      <c r="I43" s="30">
        <v>1.9917049044901218</v>
      </c>
      <c r="J43" s="30">
        <v>1.9625143519125885</v>
      </c>
      <c r="K43" s="30">
        <v>1.8809823970565318</v>
      </c>
      <c r="L43" s="30">
        <v>1.7799811957272635</v>
      </c>
      <c r="M43" s="30">
        <v>1.4212518999069899</v>
      </c>
      <c r="N43" s="30">
        <v>1.1958054126971807</v>
      </c>
      <c r="O43" s="30">
        <v>0.48305314324231369</v>
      </c>
      <c r="P43" s="36">
        <v>-1.1995929714866378</v>
      </c>
      <c r="AF43" s="47"/>
      <c r="AG43" s="37" t="s">
        <v>860</v>
      </c>
      <c r="AH43" s="35">
        <v>1.5147902909510422</v>
      </c>
      <c r="AI43" s="30">
        <v>1.5630090760148418</v>
      </c>
      <c r="AJ43" s="30">
        <v>1.7896771599748198</v>
      </c>
      <c r="AK43" s="30">
        <v>2.0664276699234119</v>
      </c>
      <c r="AL43" s="30">
        <v>2.256714722726358</v>
      </c>
      <c r="AM43" s="30">
        <v>2.3298090290017717</v>
      </c>
      <c r="AN43" s="30" t="e">
        <v>#N/A</v>
      </c>
      <c r="AO43" s="30">
        <v>2.3024964685723806</v>
      </c>
      <c r="AP43" s="30" t="e">
        <v>#N/A</v>
      </c>
      <c r="AQ43" s="30">
        <v>1.6811894618155432</v>
      </c>
      <c r="AR43" s="30" t="e">
        <v>#N/A</v>
      </c>
      <c r="AS43" s="30">
        <v>0.21559967599732979</v>
      </c>
      <c r="AT43" s="36">
        <v>-1.2723912592285127</v>
      </c>
    </row>
    <row r="44" spans="2:46" x14ac:dyDescent="0.35">
      <c r="B44" s="47"/>
      <c r="C44" s="37" t="s">
        <v>861</v>
      </c>
      <c r="D44" s="35">
        <v>5.2582828089960838</v>
      </c>
      <c r="E44" s="30">
        <v>5.131424768799306</v>
      </c>
      <c r="F44" s="30">
        <v>5.0223254853177952</v>
      </c>
      <c r="G44" s="30">
        <v>4.8694235227379927</v>
      </c>
      <c r="H44" s="30">
        <v>4.6637556009338477</v>
      </c>
      <c r="I44" s="30">
        <v>4.3902657033865893</v>
      </c>
      <c r="J44" s="30">
        <v>4.1993255204902677</v>
      </c>
      <c r="K44" s="30">
        <v>3.9865294352533596</v>
      </c>
      <c r="L44" s="30">
        <v>3.7915461787541944</v>
      </c>
      <c r="M44" s="30">
        <v>3.1644497367312279</v>
      </c>
      <c r="N44" s="30">
        <v>2.7813201574019604</v>
      </c>
      <c r="O44" s="30">
        <v>1.5853692900512728</v>
      </c>
      <c r="P44" s="36">
        <v>-0.16165565516483404</v>
      </c>
      <c r="AF44" s="47"/>
      <c r="AG44" s="37" t="s">
        <v>861</v>
      </c>
      <c r="AH44" s="35">
        <v>5.3509237668609773</v>
      </c>
      <c r="AI44" s="30">
        <v>5.1094779433240376</v>
      </c>
      <c r="AJ44" s="30">
        <v>4.9008730768428368</v>
      </c>
      <c r="AK44" s="30">
        <v>5.0220706813972313</v>
      </c>
      <c r="AL44" s="30">
        <v>4.7009150249422111</v>
      </c>
      <c r="AM44" s="30">
        <v>4.5401325439241775</v>
      </c>
      <c r="AN44" s="30" t="e">
        <v>#N/A</v>
      </c>
      <c r="AO44" s="30">
        <v>4.2336724999331539</v>
      </c>
      <c r="AP44" s="30" t="e">
        <v>#N/A</v>
      </c>
      <c r="AQ44" s="30">
        <v>3.4271560298168207</v>
      </c>
      <c r="AR44" s="30" t="e">
        <v>#N/A</v>
      </c>
      <c r="AS44" s="30">
        <v>1.7141490194956399</v>
      </c>
      <c r="AT44" s="36">
        <v>-0.69715662885127816</v>
      </c>
    </row>
    <row r="45" spans="2:46" x14ac:dyDescent="0.35">
      <c r="B45" s="47"/>
      <c r="C45" s="37" t="s">
        <v>862</v>
      </c>
      <c r="D45" s="35">
        <v>2.4703113242935801</v>
      </c>
      <c r="E45" s="30">
        <v>2.4703113242935517</v>
      </c>
      <c r="F45" s="30">
        <v>2.4703113242877937</v>
      </c>
      <c r="G45" s="30">
        <v>2.4703113230809155</v>
      </c>
      <c r="H45" s="30">
        <v>2.4703110617359485</v>
      </c>
      <c r="I45" s="30">
        <v>2.4702523735946702</v>
      </c>
      <c r="J45" s="30">
        <v>2.4686949260837672</v>
      </c>
      <c r="K45" s="30">
        <v>2.4552334108623874</v>
      </c>
      <c r="L45" s="30">
        <v>2.4236347517447574</v>
      </c>
      <c r="M45" s="30">
        <v>2.2065531451995577</v>
      </c>
      <c r="N45" s="30">
        <v>2.0222465498269804</v>
      </c>
      <c r="O45" s="30">
        <v>1.1829681587800136</v>
      </c>
      <c r="P45" s="36">
        <v>-0.7690658284343479</v>
      </c>
      <c r="AF45" s="47"/>
      <c r="AG45" s="37" t="s">
        <v>862</v>
      </c>
      <c r="AH45" s="35">
        <v>1.8000942066776817</v>
      </c>
      <c r="AI45" s="30">
        <v>2.0270017349900358</v>
      </c>
      <c r="AJ45" s="30">
        <v>2.1408607559033386</v>
      </c>
      <c r="AK45" s="30">
        <v>2.176692181350496</v>
      </c>
      <c r="AL45" s="30">
        <v>2.2986410339841332</v>
      </c>
      <c r="AM45" s="30">
        <v>2.295885787055385</v>
      </c>
      <c r="AN45" s="30" t="e">
        <v>#N/A</v>
      </c>
      <c r="AO45" s="30">
        <v>2.2787235912437169</v>
      </c>
      <c r="AP45" s="30" t="e">
        <v>#N/A</v>
      </c>
      <c r="AQ45" s="30">
        <v>1.9950561829278708</v>
      </c>
      <c r="AR45" s="30" t="e">
        <v>#N/A</v>
      </c>
      <c r="AS45" s="30">
        <v>1.0696683103346663</v>
      </c>
      <c r="AT45" s="36">
        <v>-0.60869550680287243</v>
      </c>
    </row>
    <row r="46" spans="2:46" x14ac:dyDescent="0.35">
      <c r="B46" s="47"/>
      <c r="C46" s="37" t="s">
        <v>863</v>
      </c>
      <c r="D46" s="35">
        <v>6.6522784457864033</v>
      </c>
      <c r="E46" s="30">
        <v>6.6519822923484169</v>
      </c>
      <c r="F46" s="30">
        <v>6.6511340714300138</v>
      </c>
      <c r="G46" s="30">
        <v>6.6469234212477968</v>
      </c>
      <c r="H46" s="30">
        <v>6.6265195768691942</v>
      </c>
      <c r="I46" s="30">
        <v>6.51535890325398</v>
      </c>
      <c r="J46" s="30">
        <v>6.231831404943363</v>
      </c>
      <c r="K46" s="30">
        <v>5.7158614959268741</v>
      </c>
      <c r="L46" s="30">
        <v>5.2285301173847438</v>
      </c>
      <c r="M46" s="30">
        <v>3.9224280275561019</v>
      </c>
      <c r="N46" s="30">
        <v>3.268015021605617</v>
      </c>
      <c r="O46" s="30">
        <v>1.5530577921314108</v>
      </c>
      <c r="P46" s="36">
        <v>-0.59427661235595342</v>
      </c>
      <c r="AF46" s="47"/>
      <c r="AG46" s="37" t="s">
        <v>863</v>
      </c>
      <c r="AH46" s="35">
        <v>6.0175831247704741</v>
      </c>
      <c r="AI46" s="30">
        <v>6.4235892437549396</v>
      </c>
      <c r="AJ46" s="30">
        <v>6.6860371966460992</v>
      </c>
      <c r="AK46" s="30">
        <v>6.7430766383159773</v>
      </c>
      <c r="AL46" s="30">
        <v>6.6672919210080854</v>
      </c>
      <c r="AM46" s="30">
        <v>6.4589384637242953</v>
      </c>
      <c r="AN46" s="30">
        <v>7.1804098776938092</v>
      </c>
      <c r="AO46" s="30">
        <v>4.8447899941082389</v>
      </c>
      <c r="AP46" s="30">
        <v>6.1699879957038304</v>
      </c>
      <c r="AQ46" s="30">
        <v>3.7828572928013968</v>
      </c>
      <c r="AR46" s="30">
        <v>3.9331786288225001</v>
      </c>
      <c r="AS46" s="30">
        <v>1.5594488523251013</v>
      </c>
      <c r="AT46" s="36">
        <v>-0.91803698439709414</v>
      </c>
    </row>
    <row r="47" spans="2:46" x14ac:dyDescent="0.35">
      <c r="B47" s="47"/>
      <c r="C47" s="37" t="s">
        <v>864</v>
      </c>
      <c r="D47" s="35">
        <v>9.6427060445399313</v>
      </c>
      <c r="E47" s="30">
        <v>9.6423998669890807</v>
      </c>
      <c r="F47" s="30">
        <v>9.6408807906156007</v>
      </c>
      <c r="G47" s="30">
        <v>9.6325058305410209</v>
      </c>
      <c r="H47" s="30">
        <v>9.6401019015786069</v>
      </c>
      <c r="I47" s="30">
        <v>9.472766238807468</v>
      </c>
      <c r="J47" s="30">
        <v>8.6075202619197775</v>
      </c>
      <c r="K47" s="30">
        <v>7.4779345347218422</v>
      </c>
      <c r="L47" s="30">
        <v>6.5630094229129066</v>
      </c>
      <c r="M47" s="30">
        <v>4.566814857987354</v>
      </c>
      <c r="N47" s="30">
        <v>3.6555845302027579</v>
      </c>
      <c r="O47" s="30">
        <v>1.7327828869166269</v>
      </c>
      <c r="P47" s="36">
        <v>-0.48528263612352635</v>
      </c>
      <c r="AF47" s="47"/>
      <c r="AG47" s="37" t="s">
        <v>864</v>
      </c>
      <c r="AH47" s="35">
        <v>8.8867483828205618</v>
      </c>
      <c r="AI47" s="30">
        <v>10.08461113104986</v>
      </c>
      <c r="AJ47" s="30">
        <v>10.171689406103306</v>
      </c>
      <c r="AK47" s="30">
        <v>9.9112859545246543</v>
      </c>
      <c r="AL47" s="30">
        <v>9.5345800554840281</v>
      </c>
      <c r="AM47" s="30">
        <v>8.8854699978257567</v>
      </c>
      <c r="AN47" s="30">
        <v>10.236297974354835</v>
      </c>
      <c r="AO47" s="30">
        <v>5.967513506230012</v>
      </c>
      <c r="AP47" s="30">
        <v>8.0883841527805291</v>
      </c>
      <c r="AQ47" s="30">
        <v>4.0955647613451909</v>
      </c>
      <c r="AR47" s="30">
        <v>4.7972342708772571</v>
      </c>
      <c r="AS47" s="30">
        <v>1.8856824595133435</v>
      </c>
      <c r="AT47" s="36">
        <v>-0.74743421884891481</v>
      </c>
    </row>
    <row r="48" spans="2:46" x14ac:dyDescent="0.35">
      <c r="B48" s="47"/>
      <c r="C48" s="37" t="s">
        <v>865</v>
      </c>
      <c r="D48">
        <v>2.5354822053114723</v>
      </c>
      <c r="E48">
        <v>2.5354822047020642</v>
      </c>
      <c r="F48">
        <v>2.5354821807215755</v>
      </c>
      <c r="G48">
        <v>2.5354812027245957</v>
      </c>
      <c r="H48">
        <v>2.5354405488168639</v>
      </c>
      <c r="I48">
        <v>2.5336670974066329</v>
      </c>
      <c r="J48">
        <v>2.5167295510447536</v>
      </c>
      <c r="K48">
        <v>2.4449259360936568</v>
      </c>
      <c r="L48">
        <v>2.3319634967629077</v>
      </c>
      <c r="M48">
        <v>1.8446778808275464</v>
      </c>
      <c r="N48">
        <v>1.5118346147310295</v>
      </c>
      <c r="O48">
        <v>0.37270282854914744</v>
      </c>
      <c r="P48">
        <v>-1.7341279356267989</v>
      </c>
      <c r="AF48" s="47"/>
      <c r="AG48" s="37" t="s">
        <v>865</v>
      </c>
      <c r="AH48" s="35">
        <v>2.1808662969283219</v>
      </c>
      <c r="AI48" s="30">
        <v>2.3688993575903377</v>
      </c>
      <c r="AJ48" s="30">
        <v>2.5255853200319973</v>
      </c>
      <c r="AK48" s="30">
        <v>2.6335731470340753</v>
      </c>
      <c r="AL48" s="30">
        <v>2.724793502639077</v>
      </c>
      <c r="AM48" s="30">
        <v>2.6941744152951626</v>
      </c>
      <c r="AN48" s="30" t="e">
        <v>#N/A</v>
      </c>
      <c r="AO48" s="30">
        <v>2.4690033146535422</v>
      </c>
      <c r="AP48" s="30" t="e">
        <v>#N/A</v>
      </c>
      <c r="AQ48" s="30">
        <v>1.9712618205441803</v>
      </c>
      <c r="AR48" s="30" t="e">
        <v>#N/A</v>
      </c>
      <c r="AS48" s="30">
        <v>0.35114144041894152</v>
      </c>
      <c r="AT48" s="36">
        <v>-1.9264850146540349</v>
      </c>
    </row>
    <row r="49" spans="2:46" x14ac:dyDescent="0.35">
      <c r="B49" s="47"/>
      <c r="C49" s="37" t="s">
        <v>866</v>
      </c>
      <c r="D49" s="35">
        <v>4.5764402184242021</v>
      </c>
      <c r="E49" s="30">
        <v>4.5033776955237013</v>
      </c>
      <c r="F49" s="30">
        <v>4.4293485016130987</v>
      </c>
      <c r="G49" s="30">
        <v>4.3126217890351288</v>
      </c>
      <c r="H49" s="30">
        <v>4.1333423410231473</v>
      </c>
      <c r="I49" s="30">
        <v>3.8486434260591063</v>
      </c>
      <c r="J49" s="30">
        <v>3.5541725037135827</v>
      </c>
      <c r="K49" s="30">
        <v>3.2081196718137854</v>
      </c>
      <c r="L49" s="30">
        <v>2.939698194950036</v>
      </c>
      <c r="M49" s="30">
        <v>2.3118769471794418</v>
      </c>
      <c r="N49" s="30">
        <v>1.8935016931224626</v>
      </c>
      <c r="O49" s="30">
        <v>1.1063129352028749</v>
      </c>
      <c r="P49" s="36">
        <v>-0.5631674084390399</v>
      </c>
      <c r="AF49" s="47"/>
      <c r="AG49" s="37" t="s">
        <v>866</v>
      </c>
      <c r="AH49" s="35">
        <v>1.9328373259584415</v>
      </c>
      <c r="AI49" s="30">
        <v>3.0999874642980605</v>
      </c>
      <c r="AJ49" s="30">
        <v>3.2982384865713938</v>
      </c>
      <c r="AK49" s="30">
        <v>3.8082281434487597</v>
      </c>
      <c r="AL49" s="30">
        <v>3.9540334518448281</v>
      </c>
      <c r="AM49" s="30">
        <v>3.6555332476948408</v>
      </c>
      <c r="AN49" s="30" t="e">
        <v>#N/A</v>
      </c>
      <c r="AO49" s="30">
        <v>3.2728536304308236</v>
      </c>
      <c r="AP49" s="30" t="e">
        <v>#N/A</v>
      </c>
      <c r="AQ49" s="30">
        <v>2.3194116469883448</v>
      </c>
      <c r="AR49" s="30" t="e">
        <v>#N/A</v>
      </c>
      <c r="AS49" s="30">
        <v>1.0479127744857182</v>
      </c>
      <c r="AT49" s="36">
        <v>-0.90340414771993671</v>
      </c>
    </row>
    <row r="50" spans="2:46" x14ac:dyDescent="0.35">
      <c r="B50" s="47"/>
      <c r="C50" s="37" t="s">
        <v>867</v>
      </c>
      <c r="D50" s="35">
        <v>4.0385788566495746</v>
      </c>
      <c r="E50" s="30">
        <v>4.0385788284649369</v>
      </c>
      <c r="F50" s="30">
        <v>4.0385777909828491</v>
      </c>
      <c r="G50" s="30">
        <v>4.0385606564369398</v>
      </c>
      <c r="H50" s="30">
        <v>4.0382713108623065</v>
      </c>
      <c r="I50" s="30">
        <v>4.0329606658621246</v>
      </c>
      <c r="J50" s="30">
        <v>4.0022512090853075</v>
      </c>
      <c r="K50" s="30">
        <v>3.8981427427517708</v>
      </c>
      <c r="L50" s="30">
        <v>3.7504257985707028</v>
      </c>
      <c r="M50" s="30">
        <v>3.1541655775156108</v>
      </c>
      <c r="N50" s="30">
        <v>2.75199192582595</v>
      </c>
      <c r="O50" s="30">
        <v>1.4200665299395825</v>
      </c>
      <c r="P50" s="36">
        <v>-0.61846006843397316</v>
      </c>
      <c r="AF50" s="47"/>
      <c r="AG50" s="37" t="s">
        <v>867</v>
      </c>
      <c r="AH50" s="35">
        <v>3.297769677011186</v>
      </c>
      <c r="AI50" s="30">
        <v>3.4634149877442519</v>
      </c>
      <c r="AJ50" s="30">
        <v>3.7453077482286083</v>
      </c>
      <c r="AK50" s="30">
        <v>3.7804901753717743</v>
      </c>
      <c r="AL50" s="30">
        <v>3.8476771117228736</v>
      </c>
      <c r="AM50" s="30">
        <v>3.933702505875257</v>
      </c>
      <c r="AN50" s="30">
        <v>4.2909966184775952</v>
      </c>
      <c r="AO50" s="30">
        <v>3.3905314435942437</v>
      </c>
      <c r="AP50" s="30">
        <v>4.1159732358257601</v>
      </c>
      <c r="AQ50" s="30">
        <v>2.8114026634675424</v>
      </c>
      <c r="AR50" s="30">
        <v>2.9080231192014847</v>
      </c>
      <c r="AS50" s="30">
        <v>1.3569745911376372</v>
      </c>
      <c r="AT50" s="36">
        <v>-0.76408828063524636</v>
      </c>
    </row>
    <row r="51" spans="2:46" x14ac:dyDescent="0.35">
      <c r="B51" s="48"/>
      <c r="C51" s="38" t="s">
        <v>868</v>
      </c>
      <c r="D51" s="39">
        <v>3.876227689575575</v>
      </c>
      <c r="E51" s="40">
        <v>3.8762276889610305</v>
      </c>
      <c r="F51" s="40">
        <v>3.8762276771484849</v>
      </c>
      <c r="G51" s="40">
        <v>3.8762271207640597</v>
      </c>
      <c r="H51" s="40">
        <v>3.8762002844600638</v>
      </c>
      <c r="I51" s="40">
        <v>3.880240020791379</v>
      </c>
      <c r="J51" s="40">
        <v>3.8619826852007333</v>
      </c>
      <c r="K51" s="40">
        <v>3.7728672726362684</v>
      </c>
      <c r="L51" s="40">
        <v>3.6204432702877765</v>
      </c>
      <c r="M51" s="40">
        <v>2.9901067410361537</v>
      </c>
      <c r="N51" s="40">
        <v>2.5596581007490076</v>
      </c>
      <c r="O51" s="40">
        <v>1.1858068124127004</v>
      </c>
      <c r="P51" s="41">
        <v>-0.80830069155771034</v>
      </c>
      <c r="AF51" s="48"/>
      <c r="AG51" s="38" t="s">
        <v>868</v>
      </c>
      <c r="AH51" s="39">
        <v>3.7645670571177843</v>
      </c>
      <c r="AI51" s="40">
        <v>3.937675112308892</v>
      </c>
      <c r="AJ51" s="40">
        <v>4.0227512862140191</v>
      </c>
      <c r="AK51" s="40">
        <v>4.0006768516402484</v>
      </c>
      <c r="AL51" s="40">
        <v>3.9580281186462676</v>
      </c>
      <c r="AM51" s="40">
        <v>3.8956316097327059</v>
      </c>
      <c r="AN51" s="40">
        <v>2.2168155910161502</v>
      </c>
      <c r="AO51" s="40">
        <v>3.7412178767956341</v>
      </c>
      <c r="AP51" s="40">
        <v>2.0744903315224201</v>
      </c>
      <c r="AQ51" s="40">
        <v>3.0885077239763512</v>
      </c>
      <c r="AR51" s="40">
        <v>1.7383812528698399</v>
      </c>
      <c r="AS51" s="40">
        <v>1.3220763249737011</v>
      </c>
      <c r="AT51" s="41">
        <v>-0.87474772005487578</v>
      </c>
    </row>
    <row r="52" spans="2:46" ht="15" customHeight="1" x14ac:dyDescent="0.35">
      <c r="B52" s="46" t="s">
        <v>873</v>
      </c>
      <c r="C52" s="30" t="s">
        <v>16</v>
      </c>
      <c r="D52" s="35">
        <v>0.99926200389999986</v>
      </c>
      <c r="E52" s="30">
        <v>0.99926200389999986</v>
      </c>
      <c r="F52" s="30">
        <v>0.99926200389994146</v>
      </c>
      <c r="G52" s="30">
        <v>0.99926200386648156</v>
      </c>
      <c r="H52" s="30">
        <v>0.99926198473202177</v>
      </c>
      <c r="I52" s="30">
        <v>0.99925104241117302</v>
      </c>
      <c r="J52" s="30">
        <v>0.99876747952854739</v>
      </c>
      <c r="K52" s="30">
        <v>0.99300442011258605</v>
      </c>
      <c r="L52" s="30">
        <v>0.97314836603145105</v>
      </c>
      <c r="M52" s="30">
        <v>0.85537509095060005</v>
      </c>
      <c r="N52" s="30">
        <v>0.73710551344309583</v>
      </c>
      <c r="O52" s="30">
        <v>0.213125315404085</v>
      </c>
      <c r="P52" s="36">
        <v>-0.79289009022092294</v>
      </c>
      <c r="AF52" s="47" t="s">
        <v>874</v>
      </c>
      <c r="AG52" s="30" t="s">
        <v>16</v>
      </c>
      <c r="AH52" s="35">
        <v>1.5565969565049744</v>
      </c>
      <c r="AI52" s="30">
        <v>1.5406519653020403</v>
      </c>
      <c r="AJ52" s="30">
        <v>1.6476686935689877</v>
      </c>
      <c r="AK52" s="30">
        <v>1.7147849985591055</v>
      </c>
      <c r="AL52" s="30">
        <v>1.8076121195763943</v>
      </c>
      <c r="AM52" s="30">
        <v>1.7786957565465831</v>
      </c>
      <c r="AN52" s="30" t="e">
        <v>#N/A</v>
      </c>
      <c r="AO52" s="30">
        <v>1.8575630443060926</v>
      </c>
      <c r="AP52" s="30" t="e">
        <v>#N/A</v>
      </c>
      <c r="AQ52" s="30">
        <v>1.6234437105655872</v>
      </c>
      <c r="AR52" s="30" t="e">
        <v>#N/A</v>
      </c>
      <c r="AS52" s="30">
        <v>1.039476277871433</v>
      </c>
      <c r="AT52" s="36">
        <v>0.72950706746862737</v>
      </c>
    </row>
    <row r="53" spans="2:46" x14ac:dyDescent="0.35">
      <c r="B53" s="47"/>
      <c r="C53" s="30" t="s">
        <v>44</v>
      </c>
      <c r="D53" s="35">
        <v>1.6127871237723916</v>
      </c>
      <c r="E53" s="30">
        <v>1.6127310704545708</v>
      </c>
      <c r="F53" s="30">
        <v>1.6124457222624735</v>
      </c>
      <c r="G53" s="30">
        <v>1.6106739186776342</v>
      </c>
      <c r="H53" s="30">
        <v>1.5993667617697835</v>
      </c>
      <c r="I53" s="30">
        <v>1.5283215122879517</v>
      </c>
      <c r="J53" s="30">
        <v>1.3742001369305279</v>
      </c>
      <c r="K53" s="30">
        <v>1.1772392891200731</v>
      </c>
      <c r="L53" s="30">
        <v>1.053186801182707</v>
      </c>
      <c r="M53" s="30">
        <v>0.86500354055971329</v>
      </c>
      <c r="N53" s="30">
        <v>0.8079534142039444</v>
      </c>
      <c r="O53" s="30">
        <v>0.68475620789925162</v>
      </c>
      <c r="P53" s="36">
        <v>0.72972364423759906</v>
      </c>
      <c r="AF53" s="47"/>
      <c r="AG53" s="30" t="s">
        <v>44</v>
      </c>
      <c r="AH53" s="35">
        <v>1.573066693067674</v>
      </c>
      <c r="AI53" s="30">
        <v>1.5071680936768423</v>
      </c>
      <c r="AJ53" s="30">
        <v>1.8682392084294956</v>
      </c>
      <c r="AK53" s="30">
        <v>1.7302279419230406</v>
      </c>
      <c r="AL53" s="30">
        <v>1.7614954892631292</v>
      </c>
      <c r="AM53" s="30">
        <v>1.7409014959702818</v>
      </c>
      <c r="AN53" s="30">
        <v>0.55879622473761681</v>
      </c>
      <c r="AO53" s="30">
        <v>1.7273965967155551</v>
      </c>
      <c r="AP53" s="30">
        <v>0.4882438244387402</v>
      </c>
      <c r="AQ53" s="30">
        <v>1.4396511739502358</v>
      </c>
      <c r="AR53" s="30">
        <v>0.43032112285924162</v>
      </c>
      <c r="AS53" s="30">
        <v>0.47284312687873781</v>
      </c>
      <c r="AT53" s="36">
        <v>0.75641430638078055</v>
      </c>
    </row>
    <row r="54" spans="2:46" x14ac:dyDescent="0.35">
      <c r="B54" s="47"/>
      <c r="C54" s="30" t="s">
        <v>69</v>
      </c>
      <c r="D54" s="35">
        <v>1.9192021291304351</v>
      </c>
      <c r="E54" s="30">
        <v>1.9191937146233686</v>
      </c>
      <c r="F54" s="30">
        <v>1.9191368874904642</v>
      </c>
      <c r="G54" s="30">
        <v>1.918685924021589</v>
      </c>
      <c r="H54" s="30">
        <v>1.9148369341354949</v>
      </c>
      <c r="I54" s="30">
        <v>1.8795517751884696</v>
      </c>
      <c r="J54" s="30">
        <v>1.767435752296334</v>
      </c>
      <c r="K54" s="30">
        <v>1.5598570834780456</v>
      </c>
      <c r="L54" s="30">
        <v>1.3813895441126876</v>
      </c>
      <c r="M54" s="30">
        <v>0.99662877794957683</v>
      </c>
      <c r="N54" s="30">
        <v>0.84510874955391413</v>
      </c>
      <c r="O54" s="30">
        <v>0.59585889596783514</v>
      </c>
      <c r="P54" s="36">
        <v>0.67967988861562967</v>
      </c>
      <c r="AF54" s="47"/>
      <c r="AG54" s="30" t="s">
        <v>69</v>
      </c>
      <c r="AH54" s="35">
        <v>1.9738721765526785</v>
      </c>
      <c r="AI54" s="30">
        <v>2.027054093998188</v>
      </c>
      <c r="AJ54" s="30">
        <v>2.0891504602608397</v>
      </c>
      <c r="AK54" s="30">
        <v>2.0237516102146778</v>
      </c>
      <c r="AL54" s="30">
        <v>1.9093586123838295</v>
      </c>
      <c r="AM54" s="30">
        <v>1.7736662061602797</v>
      </c>
      <c r="AN54" s="30" t="e">
        <v>#N/A</v>
      </c>
      <c r="AO54" s="30">
        <v>1.5181373537669201</v>
      </c>
      <c r="AP54" s="30" t="e">
        <v>#N/A</v>
      </c>
      <c r="AQ54" s="30">
        <v>0.93412209438987548</v>
      </c>
      <c r="AR54" s="30" t="e">
        <v>#N/A</v>
      </c>
      <c r="AS54" s="30">
        <v>0.64004277958109712</v>
      </c>
      <c r="AT54" s="36">
        <v>0.54434784399460334</v>
      </c>
    </row>
    <row r="55" spans="2:46" x14ac:dyDescent="0.35">
      <c r="B55" s="47"/>
      <c r="C55" s="30" t="s">
        <v>94</v>
      </c>
      <c r="D55" s="35">
        <v>0.48766113065796413</v>
      </c>
      <c r="E55" s="30">
        <v>0.48766092864527666</v>
      </c>
      <c r="F55" s="30">
        <v>0.48766265026352584</v>
      </c>
      <c r="G55" s="30">
        <v>0.48767574045137024</v>
      </c>
      <c r="H55" s="30">
        <v>0.48777697452254787</v>
      </c>
      <c r="I55" s="30">
        <v>0.48864207221776496</v>
      </c>
      <c r="J55" s="30">
        <v>0.49147025568815089</v>
      </c>
      <c r="K55" s="30">
        <v>0.49527370353755407</v>
      </c>
      <c r="L55" s="30">
        <v>0.49373428901108352</v>
      </c>
      <c r="M55" s="30">
        <v>0.45090681068585592</v>
      </c>
      <c r="N55" s="30">
        <v>0.40528237403897316</v>
      </c>
      <c r="O55" s="30">
        <v>0.2328369471032341</v>
      </c>
      <c r="P55" s="36">
        <v>0.20784368949339999</v>
      </c>
      <c r="AF55" s="47"/>
      <c r="AG55" s="30" t="s">
        <v>94</v>
      </c>
      <c r="AH55" s="35">
        <v>0.4002104926363923</v>
      </c>
      <c r="AI55" s="30">
        <v>0.42219010567573922</v>
      </c>
      <c r="AJ55" s="30">
        <v>0.52306296256615403</v>
      </c>
      <c r="AK55" s="30">
        <v>0.47961750893886806</v>
      </c>
      <c r="AL55" s="30">
        <v>0.50530395131645756</v>
      </c>
      <c r="AM55" s="30">
        <v>0.5030921681299787</v>
      </c>
      <c r="AN55" s="30">
        <v>5.5781236951848737E-2</v>
      </c>
      <c r="AO55" s="30">
        <v>0.53719518981759673</v>
      </c>
      <c r="AP55" s="30">
        <v>5.0898439133813443E-2</v>
      </c>
      <c r="AQ55" s="30">
        <v>0.55584077046193414</v>
      </c>
      <c r="AR55" s="30">
        <v>4.2276127535009395E-2</v>
      </c>
      <c r="AS55" s="30">
        <v>0.32506627100859603</v>
      </c>
      <c r="AT55" s="36">
        <v>0.19578780385795619</v>
      </c>
    </row>
    <row r="56" spans="2:46" x14ac:dyDescent="0.35">
      <c r="B56" s="47"/>
      <c r="C56" s="30" t="s">
        <v>119</v>
      </c>
      <c r="D56" s="35">
        <v>0.49046771472235068</v>
      </c>
      <c r="E56" s="30">
        <v>0.49046771472246609</v>
      </c>
      <c r="F56" s="30">
        <v>0.49046771473678002</v>
      </c>
      <c r="G56" s="30">
        <v>0.49046771652176441</v>
      </c>
      <c r="H56" s="30">
        <v>0.4904679392773455</v>
      </c>
      <c r="I56" s="30">
        <v>0.49049583293493365</v>
      </c>
      <c r="J56" s="30">
        <v>0.49097824512570409</v>
      </c>
      <c r="K56" s="30">
        <v>0.55115172081363228</v>
      </c>
      <c r="L56" s="30">
        <v>0.5000904203891865</v>
      </c>
      <c r="M56" s="30">
        <v>0.52567025838999726</v>
      </c>
      <c r="N56" s="30">
        <v>0.53456629414005818</v>
      </c>
      <c r="O56" s="30">
        <v>0.54417324035659353</v>
      </c>
      <c r="P56" s="36">
        <v>0.3454574502809501</v>
      </c>
      <c r="AF56" s="47"/>
      <c r="AG56" s="30" t="s">
        <v>119</v>
      </c>
      <c r="AH56" s="35">
        <v>0.47863851092520976</v>
      </c>
      <c r="AI56" s="30">
        <v>0.51753478268205177</v>
      </c>
      <c r="AJ56" s="30">
        <v>0.49185645145931439</v>
      </c>
      <c r="AK56" s="30">
        <v>0.45019479225244896</v>
      </c>
      <c r="AL56" s="30">
        <v>0.5239052264513806</v>
      </c>
      <c r="AM56" s="30">
        <v>0.56221911340704589</v>
      </c>
      <c r="AN56" s="30" t="e">
        <v>#N/A</v>
      </c>
      <c r="AO56" s="30">
        <v>0.57703855987438135</v>
      </c>
      <c r="AP56" s="30" t="e">
        <v>#N/A</v>
      </c>
      <c r="AQ56" s="30">
        <v>0.51193280111700423</v>
      </c>
      <c r="AR56" s="30" t="e">
        <v>#N/A</v>
      </c>
      <c r="AS56" s="30">
        <v>0.50585140132849082</v>
      </c>
      <c r="AT56" s="36">
        <v>0.26632433803718153</v>
      </c>
    </row>
    <row r="57" spans="2:46" x14ac:dyDescent="0.35">
      <c r="B57" s="47"/>
      <c r="C57" s="30" t="s">
        <v>144</v>
      </c>
      <c r="D57" s="35">
        <v>2.1147924435625316</v>
      </c>
      <c r="E57" s="30">
        <v>2.1147923137250477</v>
      </c>
      <c r="F57" s="30">
        <v>2.1147903261498975</v>
      </c>
      <c r="G57" s="30">
        <v>2.1147580226542702</v>
      </c>
      <c r="H57" s="30">
        <v>2.1142323816096753</v>
      </c>
      <c r="I57" s="30">
        <v>2.1056211247789731</v>
      </c>
      <c r="J57" s="30">
        <v>2.065217357088347</v>
      </c>
      <c r="K57" s="30">
        <v>1.9602171681193814</v>
      </c>
      <c r="L57" s="30">
        <v>1.8381129267064971</v>
      </c>
      <c r="M57" s="30">
        <v>1.4200779276054281</v>
      </c>
      <c r="N57" s="30">
        <v>1.1570181238686872</v>
      </c>
      <c r="O57" s="30">
        <v>0.37676825062440444</v>
      </c>
      <c r="P57" s="36">
        <v>0.52641872508826559</v>
      </c>
      <c r="AF57" s="47"/>
      <c r="AG57" s="30" t="s">
        <v>144</v>
      </c>
      <c r="AH57" s="35">
        <v>1.4519659286026234</v>
      </c>
      <c r="AI57" s="30">
        <v>1.4424319622027053</v>
      </c>
      <c r="AJ57" s="30">
        <v>1.5315938773586384</v>
      </c>
      <c r="AK57" s="30">
        <v>1.585995381996075</v>
      </c>
      <c r="AL57" s="30">
        <v>1.7812282514657065</v>
      </c>
      <c r="AM57" s="30">
        <v>1.8403779766129538</v>
      </c>
      <c r="AN57" s="30" t="e">
        <v>#N/A</v>
      </c>
      <c r="AO57" s="30">
        <v>1.8084057644206386</v>
      </c>
      <c r="AP57" s="30" t="e">
        <v>#N/A</v>
      </c>
      <c r="AQ57" s="30">
        <v>1.3161241548564648</v>
      </c>
      <c r="AR57" s="30" t="e">
        <v>#N/A</v>
      </c>
      <c r="AS57" s="30">
        <v>0.53243084863668544</v>
      </c>
      <c r="AT57" s="36">
        <v>0.6546722209455873</v>
      </c>
    </row>
    <row r="58" spans="2:46" x14ac:dyDescent="0.35">
      <c r="B58" s="47"/>
      <c r="C58" s="30" t="s">
        <v>169</v>
      </c>
      <c r="D58" s="35">
        <v>0.96676225510688041</v>
      </c>
      <c r="E58" s="30">
        <v>0.73931108361777531</v>
      </c>
      <c r="F58" s="30">
        <v>0.56198417220365815</v>
      </c>
      <c r="G58" s="30">
        <v>0.3907261252692214</v>
      </c>
      <c r="H58" s="30">
        <v>0.47759710553245871</v>
      </c>
      <c r="I58" s="30">
        <v>0.91795273985026837</v>
      </c>
      <c r="J58" s="30">
        <v>1.2226992170929174</v>
      </c>
      <c r="K58" s="30">
        <v>1.4036713252639348</v>
      </c>
      <c r="L58" s="30">
        <v>1.4366583780408844</v>
      </c>
      <c r="M58" s="30">
        <v>1.2804885430672481</v>
      </c>
      <c r="N58" s="30">
        <v>1.1267405714110896</v>
      </c>
      <c r="O58" s="30">
        <v>0.55664278814846069</v>
      </c>
      <c r="P58" s="36">
        <v>0.50012563484909145</v>
      </c>
      <c r="AF58" s="47"/>
      <c r="AG58" s="30" t="s">
        <v>169</v>
      </c>
      <c r="AH58" s="35">
        <v>1.5090197637775145</v>
      </c>
      <c r="AI58" s="30">
        <v>1.0356018001328213</v>
      </c>
      <c r="AJ58" s="30">
        <v>0.73719727176137795</v>
      </c>
      <c r="AK58" s="30">
        <v>0.69243952372581308</v>
      </c>
      <c r="AL58" s="30">
        <v>0.75017772943065275</v>
      </c>
      <c r="AM58" s="30">
        <v>0.78967792410563442</v>
      </c>
      <c r="AN58" s="30" t="e">
        <v>#N/A</v>
      </c>
      <c r="AO58" s="30">
        <v>0.81034338261513694</v>
      </c>
      <c r="AP58" s="30" t="e">
        <v>#N/A</v>
      </c>
      <c r="AQ58" s="30">
        <v>0.74258345322977803</v>
      </c>
      <c r="AR58" s="30" t="e">
        <v>#N/A</v>
      </c>
      <c r="AS58" s="30">
        <v>0.38681257820488602</v>
      </c>
      <c r="AT58" s="36">
        <v>0.26681639533527951</v>
      </c>
    </row>
    <row r="59" spans="2:46" x14ac:dyDescent="0.35">
      <c r="B59" s="47"/>
      <c r="C59" s="30" t="s">
        <v>194</v>
      </c>
      <c r="D59" s="35">
        <v>1.4868884185795406</v>
      </c>
      <c r="E59" s="30">
        <v>1.4868884185795139</v>
      </c>
      <c r="F59" s="30">
        <v>1.4868884185738476</v>
      </c>
      <c r="G59" s="30">
        <v>1.4868884173535246</v>
      </c>
      <c r="H59" s="30">
        <v>1.4868881435681591</v>
      </c>
      <c r="I59" s="30">
        <v>1.4868240570529423</v>
      </c>
      <c r="J59" s="30">
        <v>1.4851593186969114</v>
      </c>
      <c r="K59" s="30">
        <v>1.4715127382411597</v>
      </c>
      <c r="L59" s="30">
        <v>1.4416629264711902</v>
      </c>
      <c r="M59" s="30">
        <v>1.2616944221159598</v>
      </c>
      <c r="N59" s="30">
        <v>1.1430912954413599</v>
      </c>
      <c r="O59" s="30">
        <v>0.7475178020172939</v>
      </c>
      <c r="P59" s="36">
        <v>0.45456278027443403</v>
      </c>
      <c r="AF59" s="47"/>
      <c r="AG59" s="30" t="s">
        <v>194</v>
      </c>
      <c r="AH59" s="35">
        <v>0.90539247892223396</v>
      </c>
      <c r="AI59" s="30">
        <v>0.90700072593921999</v>
      </c>
      <c r="AJ59" s="30">
        <v>1.4521880648026102</v>
      </c>
      <c r="AK59" s="30">
        <v>1.5429144082170116</v>
      </c>
      <c r="AL59" s="30">
        <v>1.5972793032906729</v>
      </c>
      <c r="AM59" s="30">
        <v>1.6419662542930198</v>
      </c>
      <c r="AN59" s="30" t="e">
        <v>#N/A</v>
      </c>
      <c r="AO59" s="30">
        <v>1.635025866476308</v>
      </c>
      <c r="AP59" s="30" t="e">
        <v>#N/A</v>
      </c>
      <c r="AQ59" s="30">
        <v>1.3312901730951636</v>
      </c>
      <c r="AR59" s="30" t="e">
        <v>#N/A</v>
      </c>
      <c r="AS59" s="30">
        <v>0.67970327556583587</v>
      </c>
      <c r="AT59" s="36">
        <v>9.2162442347352075E-2</v>
      </c>
    </row>
    <row r="60" spans="2:46" x14ac:dyDescent="0.35">
      <c r="B60" s="47"/>
      <c r="C60" s="30" t="s">
        <v>218</v>
      </c>
      <c r="D60" s="35">
        <v>1.7790934736540474</v>
      </c>
      <c r="E60" s="30">
        <v>1.7789231353436858</v>
      </c>
      <c r="F60" s="30">
        <v>1.778430543514486</v>
      </c>
      <c r="G60" s="30">
        <v>1.7759630544886311</v>
      </c>
      <c r="H60" s="30">
        <v>1.763974379193963</v>
      </c>
      <c r="I60" s="30">
        <v>1.7032165885735511</v>
      </c>
      <c r="J60" s="30">
        <v>1.5731786857572048</v>
      </c>
      <c r="K60" s="30">
        <v>1.356349613468075</v>
      </c>
      <c r="L60" s="30">
        <v>1.1819850981783078</v>
      </c>
      <c r="M60" s="30">
        <v>0.81061230039703791</v>
      </c>
      <c r="N60" s="30">
        <v>0.66322967538394628</v>
      </c>
      <c r="O60" s="30">
        <v>0.32788153751528593</v>
      </c>
      <c r="P60" s="36">
        <v>0.32172076098612129</v>
      </c>
      <c r="AF60" s="47"/>
      <c r="AG60" s="30" t="s">
        <v>218</v>
      </c>
      <c r="AH60" s="35">
        <v>2.5097075008198471</v>
      </c>
      <c r="AI60" s="30">
        <v>2.5148701172156467</v>
      </c>
      <c r="AJ60" s="30">
        <v>2.1648812175492762</v>
      </c>
      <c r="AK60" s="30">
        <v>1.874513242754549</v>
      </c>
      <c r="AL60" s="30">
        <v>1.6234989205892802</v>
      </c>
      <c r="AM60" s="30">
        <v>1.437308057928679</v>
      </c>
      <c r="AN60" s="30">
        <v>1.0200255675029279</v>
      </c>
      <c r="AO60" s="30">
        <v>0.89742930029345591</v>
      </c>
      <c r="AP60" s="30">
        <v>0.78175055528708437</v>
      </c>
      <c r="AQ60" s="30">
        <v>0.52795173158812292</v>
      </c>
      <c r="AR60" s="30">
        <v>0.44921639889747877</v>
      </c>
      <c r="AS60" s="30">
        <v>0.20461376294130432</v>
      </c>
      <c r="AT60" s="36">
        <v>0.12995865503808687</v>
      </c>
    </row>
    <row r="61" spans="2:46" x14ac:dyDescent="0.35">
      <c r="B61" s="47"/>
      <c r="C61" s="30" t="s">
        <v>243</v>
      </c>
      <c r="D61" s="35">
        <v>3.9546410719506135</v>
      </c>
      <c r="E61" s="30">
        <v>3.9542193545585391</v>
      </c>
      <c r="F61" s="30">
        <v>3.9522653712010034</v>
      </c>
      <c r="G61" s="30">
        <v>3.9419718051645631</v>
      </c>
      <c r="H61" s="30">
        <v>3.8719439495493604</v>
      </c>
      <c r="I61" s="30">
        <v>3.8185964891290616</v>
      </c>
      <c r="J61" s="30">
        <v>3.0235592706025072</v>
      </c>
      <c r="K61" s="30">
        <v>2.3443529002084125</v>
      </c>
      <c r="L61" s="30">
        <v>1.9111376208272786</v>
      </c>
      <c r="M61" s="30">
        <v>1.2292632231453684</v>
      </c>
      <c r="N61" s="30">
        <v>0.96787734038904849</v>
      </c>
      <c r="O61" s="30">
        <v>0.69164634000076752</v>
      </c>
      <c r="P61" s="36">
        <v>0.53720070415538412</v>
      </c>
      <c r="AF61" s="47"/>
      <c r="AG61" s="30" t="s">
        <v>243</v>
      </c>
      <c r="AH61" s="35">
        <v>3.8284277621247984</v>
      </c>
      <c r="AI61" s="30">
        <v>4.1144255248223445</v>
      </c>
      <c r="AJ61" s="30">
        <v>4.1312786071459167</v>
      </c>
      <c r="AK61" s="30">
        <v>3.9631552614049861</v>
      </c>
      <c r="AL61" s="30">
        <v>3.816165239675064</v>
      </c>
      <c r="AM61" s="30">
        <v>3.4274487083382761</v>
      </c>
      <c r="AN61" s="30">
        <v>2.0189350592577635</v>
      </c>
      <c r="AO61" s="30">
        <v>2.4368099073168121</v>
      </c>
      <c r="AP61" s="30">
        <v>1.0594317313159973</v>
      </c>
      <c r="AQ61" s="30">
        <v>1.3505352741129262</v>
      </c>
      <c r="AR61" s="30">
        <v>0.18918729956846636</v>
      </c>
      <c r="AS61" s="30">
        <v>0.66145385889856378</v>
      </c>
      <c r="AT61" s="36">
        <v>0.42540291840483629</v>
      </c>
    </row>
    <row r="62" spans="2:46" x14ac:dyDescent="0.35">
      <c r="B62" s="47"/>
      <c r="C62" s="30" t="s">
        <v>268</v>
      </c>
      <c r="D62">
        <v>0.83017355763350331</v>
      </c>
      <c r="E62">
        <v>0.83017355788435809</v>
      </c>
      <c r="F62">
        <v>0.83017356714605384</v>
      </c>
      <c r="G62">
        <v>0.83017391588972012</v>
      </c>
      <c r="H62">
        <v>0.83018677389712503</v>
      </c>
      <c r="I62">
        <v>0.83061854668922919</v>
      </c>
      <c r="J62">
        <v>0.83359377127995649</v>
      </c>
      <c r="K62">
        <v>0.8427421305354863</v>
      </c>
      <c r="L62">
        <v>0.85938968206446464</v>
      </c>
      <c r="M62">
        <v>0.94592011127238307</v>
      </c>
      <c r="N62">
        <v>1.0173611258490858</v>
      </c>
      <c r="O62">
        <v>1.0981985050109098</v>
      </c>
      <c r="P62">
        <v>1.0116126931153822</v>
      </c>
      <c r="AF62" s="47"/>
      <c r="AG62" s="30" t="s">
        <v>268</v>
      </c>
      <c r="AH62" s="35">
        <v>0.80042418927160708</v>
      </c>
      <c r="AI62" s="30">
        <v>0.86471106385473839</v>
      </c>
      <c r="AJ62" s="30">
        <v>0.83251499979296406</v>
      </c>
      <c r="AK62" s="30">
        <v>0.72587511499301882</v>
      </c>
      <c r="AL62" s="30">
        <v>0.79325522492718614</v>
      </c>
      <c r="AM62" s="30">
        <v>0.9159988402909115</v>
      </c>
      <c r="AN62" s="30" t="e">
        <v>#N/A</v>
      </c>
      <c r="AO62" s="30">
        <v>0.97695918271323379</v>
      </c>
      <c r="AP62" s="30" t="e">
        <v>#N/A</v>
      </c>
      <c r="AQ62" s="30">
        <v>0.92598482759681366</v>
      </c>
      <c r="AR62" s="30" t="e">
        <v>#N/A</v>
      </c>
      <c r="AS62" s="30">
        <v>0.97062980281781064</v>
      </c>
      <c r="AT62" s="36">
        <v>0.92272999615449958</v>
      </c>
    </row>
    <row r="63" spans="2:46" x14ac:dyDescent="0.35">
      <c r="B63" s="47"/>
      <c r="C63" s="30" t="s">
        <v>291</v>
      </c>
      <c r="D63" s="35">
        <v>4.6227361772970905</v>
      </c>
      <c r="E63" s="30">
        <v>4.5067531026247556</v>
      </c>
      <c r="F63" s="30">
        <v>4.3951509346731301</v>
      </c>
      <c r="G63" s="30">
        <v>4.231646737224529</v>
      </c>
      <c r="H63" s="30">
        <v>4.0124415747556039</v>
      </c>
      <c r="I63" s="30">
        <v>3.7304734168910256</v>
      </c>
      <c r="J63" s="30">
        <v>3.4554212752659423</v>
      </c>
      <c r="K63" s="30">
        <v>3.0900687546524948</v>
      </c>
      <c r="L63" s="30">
        <v>2.7767307063755364</v>
      </c>
      <c r="M63" s="30">
        <v>2.0065067963837775</v>
      </c>
      <c r="N63" s="30">
        <v>1.7624620555813642</v>
      </c>
      <c r="O63" s="30">
        <v>0.94265336201131678</v>
      </c>
      <c r="P63" s="36">
        <v>1.0554667563039857</v>
      </c>
      <c r="AF63" s="47"/>
      <c r="AG63" s="30" t="s">
        <v>291</v>
      </c>
      <c r="AH63" s="35">
        <v>1.4662724404081511</v>
      </c>
      <c r="AI63" s="30">
        <v>2.5329541597032401</v>
      </c>
      <c r="AJ63" s="30">
        <v>3.2672400613254209</v>
      </c>
      <c r="AK63" s="30">
        <v>3.5840669633983353</v>
      </c>
      <c r="AL63" s="30">
        <v>3.6613799383717462</v>
      </c>
      <c r="AM63" s="30">
        <v>3.4590311681145436</v>
      </c>
      <c r="AN63" s="30" t="e">
        <v>#N/A</v>
      </c>
      <c r="AO63" s="30">
        <v>2.9781168477015094</v>
      </c>
      <c r="AP63" s="30" t="e">
        <v>#N/A</v>
      </c>
      <c r="AQ63" s="30">
        <v>1.9957665348755222</v>
      </c>
      <c r="AR63" s="30" t="e">
        <v>#N/A</v>
      </c>
      <c r="AS63" s="30">
        <v>0.78929566555468089</v>
      </c>
      <c r="AT63" s="36">
        <v>0.38717678030566932</v>
      </c>
    </row>
    <row r="64" spans="2:46" x14ac:dyDescent="0.35">
      <c r="B64" s="47"/>
      <c r="C64" s="30" t="s">
        <v>316</v>
      </c>
      <c r="D64" s="35">
        <v>1.3425787508340536</v>
      </c>
      <c r="E64" s="30">
        <v>1.3425787661529833</v>
      </c>
      <c r="F64" s="30">
        <v>1.3425793285947962</v>
      </c>
      <c r="G64" s="30">
        <v>1.3425884392160499</v>
      </c>
      <c r="H64" s="30">
        <v>1.3427303676742059</v>
      </c>
      <c r="I64" s="30">
        <v>1.3446000448925082</v>
      </c>
      <c r="J64" s="30">
        <v>1.3488814416518218</v>
      </c>
      <c r="K64" s="30">
        <v>1.3429392366371291</v>
      </c>
      <c r="L64" s="30">
        <v>1.3175587932607369</v>
      </c>
      <c r="M64" s="30">
        <v>1.160302224019385</v>
      </c>
      <c r="N64" s="30">
        <v>1.0379118707014023</v>
      </c>
      <c r="O64" s="30">
        <v>0.61875220196330816</v>
      </c>
      <c r="P64" s="36">
        <v>0.1615765366246312</v>
      </c>
      <c r="AF64" s="47"/>
      <c r="AG64" s="30" t="s">
        <v>316</v>
      </c>
      <c r="AH64" s="35">
        <v>1.4212048362408325</v>
      </c>
      <c r="AI64" s="30">
        <v>1.2942828584532091</v>
      </c>
      <c r="AJ64" s="30">
        <v>1.1342690800566106</v>
      </c>
      <c r="AK64" s="30">
        <v>1.1921443488227639</v>
      </c>
      <c r="AL64" s="30">
        <v>1.3970634558720549</v>
      </c>
      <c r="AM64" s="30">
        <v>1.4989886302637716</v>
      </c>
      <c r="AN64" s="30">
        <v>1.2815535139538985</v>
      </c>
      <c r="AO64" s="30">
        <v>1.4217783591051871</v>
      </c>
      <c r="AP64" s="30">
        <v>1.3188581459558646</v>
      </c>
      <c r="AQ64" s="30">
        <v>1.3371597814816827</v>
      </c>
      <c r="AR64" s="30">
        <v>0.97290935553804214</v>
      </c>
      <c r="AS64" s="30">
        <v>0.53678359488172311</v>
      </c>
      <c r="AT64" s="36">
        <v>0.39658497520870872</v>
      </c>
    </row>
    <row r="65" spans="2:46" x14ac:dyDescent="0.35">
      <c r="B65" s="48"/>
      <c r="C65" s="40" t="s">
        <v>340</v>
      </c>
      <c r="D65" s="39">
        <v>0.71410160539144363</v>
      </c>
      <c r="E65" s="40">
        <v>0.71410160572844905</v>
      </c>
      <c r="F65" s="40">
        <v>0.71410162088028672</v>
      </c>
      <c r="G65" s="40">
        <v>0.71410221811245755</v>
      </c>
      <c r="H65" s="40">
        <v>0.71412449591277094</v>
      </c>
      <c r="I65" s="40">
        <v>0.71909555643954071</v>
      </c>
      <c r="J65" s="40">
        <v>0.72207701734502272</v>
      </c>
      <c r="K65" s="40">
        <v>0.72409004383262798</v>
      </c>
      <c r="L65" s="40">
        <v>0.71515139076306078</v>
      </c>
      <c r="M65" s="40">
        <v>0.64648918512173326</v>
      </c>
      <c r="N65" s="40">
        <v>0.58101586014587137</v>
      </c>
      <c r="O65" s="40">
        <v>0.32875864148196526</v>
      </c>
      <c r="P65" s="41">
        <v>0.22289279762996289</v>
      </c>
      <c r="AF65" s="48"/>
      <c r="AG65" s="40" t="s">
        <v>340</v>
      </c>
      <c r="AH65" s="39">
        <v>0.61434116721317644</v>
      </c>
      <c r="AI65" s="40">
        <v>0.60848879386009169</v>
      </c>
      <c r="AJ65" s="40">
        <v>0.67948796704020009</v>
      </c>
      <c r="AK65" s="40">
        <v>0.75319253961739585</v>
      </c>
      <c r="AL65" s="40">
        <v>0.80742007638879543</v>
      </c>
      <c r="AM65" s="40">
        <v>0.7883246591963412</v>
      </c>
      <c r="AN65" s="40" t="e">
        <v>#N/A</v>
      </c>
      <c r="AO65" s="40">
        <v>0.55019665373348559</v>
      </c>
      <c r="AP65" s="40" t="e">
        <v>#N/A</v>
      </c>
      <c r="AQ65" s="40">
        <v>0.45833339189616817</v>
      </c>
      <c r="AR65" s="40" t="e">
        <v>#N/A</v>
      </c>
      <c r="AS65" s="40">
        <v>0.34974916854649979</v>
      </c>
      <c r="AT65" s="41">
        <v>0.22886179285512032</v>
      </c>
    </row>
    <row r="66" spans="2:46" x14ac:dyDescent="0.35">
      <c r="C66"/>
    </row>
    <row r="67" spans="2:46" x14ac:dyDescent="0.35">
      <c r="C67"/>
    </row>
    <row r="68" spans="2:46" x14ac:dyDescent="0.35">
      <c r="B68" s="30"/>
      <c r="C68" s="30"/>
      <c r="D68" s="31">
        <v>2000</v>
      </c>
      <c r="E68" s="32">
        <v>1500</v>
      </c>
      <c r="F68" s="32">
        <v>1250</v>
      </c>
      <c r="G68" s="32">
        <v>1000</v>
      </c>
      <c r="H68" s="32">
        <v>750</v>
      </c>
      <c r="I68" s="32">
        <v>500</v>
      </c>
      <c r="J68" s="32">
        <v>350</v>
      </c>
      <c r="K68" s="32">
        <v>250</v>
      </c>
      <c r="L68" s="32">
        <v>200</v>
      </c>
      <c r="M68" s="32">
        <v>125</v>
      </c>
      <c r="N68" s="32">
        <v>100</v>
      </c>
      <c r="O68" s="32">
        <v>50</v>
      </c>
      <c r="P68" s="33">
        <v>1.0000800000000001E-2</v>
      </c>
      <c r="AF68" s="30"/>
      <c r="AG68" s="30"/>
      <c r="AH68" s="31">
        <v>2000</v>
      </c>
      <c r="AI68" s="32">
        <v>1500</v>
      </c>
      <c r="AJ68" s="32">
        <v>1250</v>
      </c>
      <c r="AK68" s="32">
        <v>1000</v>
      </c>
      <c r="AL68" s="32">
        <v>750</v>
      </c>
      <c r="AM68" s="32">
        <v>500</v>
      </c>
      <c r="AN68" s="32">
        <v>350</v>
      </c>
      <c r="AO68" s="32">
        <v>250</v>
      </c>
      <c r="AP68" s="32">
        <v>200</v>
      </c>
      <c r="AQ68" s="32">
        <v>125</v>
      </c>
      <c r="AR68" s="32">
        <v>100</v>
      </c>
      <c r="AS68" s="32">
        <v>50</v>
      </c>
      <c r="AT68" s="33">
        <v>1.0000800000000001E-2</v>
      </c>
    </row>
    <row r="69" spans="2:46" ht="15" customHeight="1" x14ac:dyDescent="0.35">
      <c r="B69" s="46" t="s">
        <v>875</v>
      </c>
      <c r="C69" s="34" t="s">
        <v>854</v>
      </c>
      <c r="D69" s="35">
        <v>0.87233868191286768</v>
      </c>
      <c r="E69" s="30">
        <v>0.87231184656973138</v>
      </c>
      <c r="F69" s="30">
        <v>0.87219916497568972</v>
      </c>
      <c r="G69" s="30">
        <v>0.87163265973205306</v>
      </c>
      <c r="H69" s="30">
        <v>0.86879843322827088</v>
      </c>
      <c r="I69" s="30">
        <v>0.85481880878398775</v>
      </c>
      <c r="J69" s="30">
        <v>0.82627777051619133</v>
      </c>
      <c r="K69" s="30">
        <v>0.77882623795649597</v>
      </c>
      <c r="L69" s="30">
        <v>0.73267010770971464</v>
      </c>
      <c r="M69" s="30">
        <v>0.58489380147329439</v>
      </c>
      <c r="N69" s="30">
        <v>0.4903144319701605</v>
      </c>
      <c r="O69" s="30">
        <v>0.11595973326211674</v>
      </c>
      <c r="P69" s="36">
        <v>-1.0195252788988516</v>
      </c>
      <c r="AF69" s="46" t="s">
        <v>876</v>
      </c>
      <c r="AG69" s="34" t="s">
        <v>854</v>
      </c>
      <c r="AH69" s="35">
        <v>0.87664383470722307</v>
      </c>
      <c r="AI69" s="30">
        <v>0.86205824850047941</v>
      </c>
      <c r="AJ69" s="30">
        <v>0.84498644878628792</v>
      </c>
      <c r="AK69" s="30">
        <v>0.93488443843546876</v>
      </c>
      <c r="AL69" s="30">
        <v>0.79404448344738809</v>
      </c>
      <c r="AM69" s="30">
        <v>0.85637294769938521</v>
      </c>
      <c r="AN69" s="30" t="e">
        <v>#N/A</v>
      </c>
      <c r="AO69" s="30">
        <v>0.7017613857299575</v>
      </c>
      <c r="AP69" s="30" t="e">
        <v>#N/A</v>
      </c>
      <c r="AQ69" s="30">
        <v>0.7063357973824006</v>
      </c>
      <c r="AR69" s="30" t="e">
        <v>#N/A</v>
      </c>
      <c r="AS69" s="30">
        <v>0.4684971960996443</v>
      </c>
      <c r="AT69" s="36">
        <v>-0.9289471366683032</v>
      </c>
    </row>
    <row r="70" spans="2:46" x14ac:dyDescent="0.35">
      <c r="B70" s="47"/>
      <c r="C70" s="37" t="s">
        <v>856</v>
      </c>
      <c r="D70" s="35">
        <v>1.9336789582249834</v>
      </c>
      <c r="E70" s="30">
        <v>1.9336789582249834</v>
      </c>
      <c r="F70" s="30">
        <v>1.9336789582249574</v>
      </c>
      <c r="G70" s="30">
        <v>1.9336789582099989</v>
      </c>
      <c r="H70" s="30">
        <v>1.9336789494985542</v>
      </c>
      <c r="I70" s="30">
        <v>1.9336730607981034</v>
      </c>
      <c r="J70" s="30">
        <v>1.9333706440507352</v>
      </c>
      <c r="K70" s="30">
        <v>1.9356107097702326</v>
      </c>
      <c r="L70" s="30">
        <v>1.922589831906677</v>
      </c>
      <c r="M70" s="30">
        <v>1.8031152814154927</v>
      </c>
      <c r="N70" s="30">
        <v>1.6689049526738275</v>
      </c>
      <c r="O70" s="30">
        <v>0.93244189488146734</v>
      </c>
      <c r="P70" s="36">
        <v>-0.93365789986331738</v>
      </c>
      <c r="AF70" s="47"/>
      <c r="AG70" s="37" t="s">
        <v>856</v>
      </c>
      <c r="AH70" s="35">
        <v>1.9728767882686875</v>
      </c>
      <c r="AI70" s="30">
        <v>1.9237499212719316</v>
      </c>
      <c r="AJ70" s="30">
        <v>1.9690083215434862</v>
      </c>
      <c r="AK70" s="30">
        <v>1.9868262076914425</v>
      </c>
      <c r="AL70" s="30">
        <v>2.1180328938342337</v>
      </c>
      <c r="AM70" s="30">
        <v>1.9596199608646581</v>
      </c>
      <c r="AN70" s="30" t="e">
        <v>#N/A</v>
      </c>
      <c r="AO70" s="30">
        <v>1.9077230264812655</v>
      </c>
      <c r="AP70" s="30" t="e">
        <v>#N/A</v>
      </c>
      <c r="AQ70" s="30">
        <v>1.7641631719847191</v>
      </c>
      <c r="AR70" s="30" t="e">
        <v>#N/A</v>
      </c>
      <c r="AS70" s="30">
        <v>0.98748674000508707</v>
      </c>
      <c r="AT70" s="36">
        <v>-0.96034277215145003</v>
      </c>
    </row>
    <row r="71" spans="2:46" x14ac:dyDescent="0.35">
      <c r="B71" s="47"/>
      <c r="C71" s="37" t="s">
        <v>857</v>
      </c>
      <c r="D71" s="35">
        <v>6.0122964388494751</v>
      </c>
      <c r="E71" s="30">
        <v>6.0122853111212473</v>
      </c>
      <c r="F71" s="30">
        <v>6.012205137055358</v>
      </c>
      <c r="G71" s="30">
        <v>6.0115494385179558</v>
      </c>
      <c r="H71" s="30">
        <v>6.0060656363668397</v>
      </c>
      <c r="I71" s="30">
        <v>5.9577981128468078</v>
      </c>
      <c r="J71" s="30">
        <v>5.8032317697002611</v>
      </c>
      <c r="K71" s="30">
        <v>5.4836528833146385</v>
      </c>
      <c r="L71" s="30">
        <v>5.1592202748462892</v>
      </c>
      <c r="M71" s="30">
        <v>4.2112354785670396</v>
      </c>
      <c r="N71" s="30">
        <v>3.6704388825044565</v>
      </c>
      <c r="O71" s="30">
        <v>2.0177251881244915</v>
      </c>
      <c r="P71" s="36">
        <v>-0.57091592246694056</v>
      </c>
      <c r="AF71" s="47"/>
      <c r="AG71" s="37" t="s">
        <v>857</v>
      </c>
      <c r="AH71" s="35">
        <v>5.546750145761564</v>
      </c>
      <c r="AI71" s="30">
        <v>5.760637159111198</v>
      </c>
      <c r="AJ71" s="30">
        <v>6.0439638624947598</v>
      </c>
      <c r="AK71" s="30">
        <v>6.2167209443710361</v>
      </c>
      <c r="AL71" s="30">
        <v>6.272812386159365</v>
      </c>
      <c r="AM71" s="30">
        <v>6.2339606118452018</v>
      </c>
      <c r="AN71" s="30" t="e">
        <v>#N/A</v>
      </c>
      <c r="AO71" s="30">
        <v>5.8638385024855344</v>
      </c>
      <c r="AP71" s="30" t="e">
        <v>#N/A</v>
      </c>
      <c r="AQ71" s="30">
        <v>4.4798578688776267</v>
      </c>
      <c r="AR71" s="30" t="e">
        <v>#N/A</v>
      </c>
      <c r="AS71" s="30">
        <v>2.4141306242526883</v>
      </c>
      <c r="AT71" s="36">
        <v>0.57795202152547853</v>
      </c>
    </row>
    <row r="72" spans="2:46" x14ac:dyDescent="0.35">
      <c r="B72" s="47"/>
      <c r="C72" s="37" t="s">
        <v>858</v>
      </c>
      <c r="D72" s="35">
        <v>0.74223339686928558</v>
      </c>
      <c r="E72" s="30">
        <v>0.74223339686927481</v>
      </c>
      <c r="F72" s="30">
        <v>0.74223339686725731</v>
      </c>
      <c r="G72" s="30">
        <v>0.74223339648991327</v>
      </c>
      <c r="H72" s="30">
        <v>0.74223332585936397</v>
      </c>
      <c r="I72" s="30">
        <v>0.74222000718837189</v>
      </c>
      <c r="J72" s="30">
        <v>0.74191599118942186</v>
      </c>
      <c r="K72" s="30">
        <v>0.73947043796679712</v>
      </c>
      <c r="L72" s="30">
        <v>0.7341719029901147</v>
      </c>
      <c r="M72" s="30">
        <v>0.69931504346779538</v>
      </c>
      <c r="N72" s="30">
        <v>0.66641109417080124</v>
      </c>
      <c r="O72" s="30">
        <v>0.50103152292747866</v>
      </c>
      <c r="P72" s="36">
        <v>-0.64160199744424495</v>
      </c>
      <c r="AF72" s="47"/>
      <c r="AG72" s="37" t="s">
        <v>858</v>
      </c>
      <c r="AH72" s="35">
        <v>0.76012276806805801</v>
      </c>
      <c r="AI72" s="30">
        <v>0.76903680962320276</v>
      </c>
      <c r="AJ72" s="30">
        <v>0.74781053511645024</v>
      </c>
      <c r="AK72" s="30">
        <v>0.77395831523238978</v>
      </c>
      <c r="AL72" s="30">
        <v>0.75331447607250235</v>
      </c>
      <c r="AM72" s="30">
        <v>0.76211772386653642</v>
      </c>
      <c r="AN72" s="30" t="e">
        <v>#N/A</v>
      </c>
      <c r="AO72" s="30">
        <v>0.75402160694271803</v>
      </c>
      <c r="AP72" s="30" t="e">
        <v>#N/A</v>
      </c>
      <c r="AQ72" s="30">
        <v>0.6122623076376601</v>
      </c>
      <c r="AR72" s="30" t="e">
        <v>#N/A</v>
      </c>
      <c r="AS72" s="30">
        <v>0.37172683759740577</v>
      </c>
      <c r="AT72" s="36">
        <v>-0.66508741043828867</v>
      </c>
    </row>
    <row r="73" spans="2:46" x14ac:dyDescent="0.35">
      <c r="B73" s="47"/>
      <c r="C73" s="37" t="s">
        <v>859</v>
      </c>
      <c r="D73">
        <v>0.30376009158557504</v>
      </c>
      <c r="E73">
        <v>0.30376009158557504</v>
      </c>
      <c r="F73">
        <v>0.30376009158557504</v>
      </c>
      <c r="G73">
        <v>0.30376009158557504</v>
      </c>
      <c r="H73">
        <v>0.30376009158557504</v>
      </c>
      <c r="I73">
        <v>0.30376009158557504</v>
      </c>
      <c r="J73">
        <v>0.30376009158557504</v>
      </c>
      <c r="K73">
        <v>0.30376009158557504</v>
      </c>
      <c r="L73">
        <v>0.30376009158557504</v>
      </c>
      <c r="M73">
        <v>0.30376009158557504</v>
      </c>
      <c r="N73">
        <v>0.30376009158557504</v>
      </c>
      <c r="O73">
        <v>0.30376009158557504</v>
      </c>
      <c r="P73">
        <v>-0.58356555163495971</v>
      </c>
      <c r="AF73" s="47"/>
      <c r="AG73" s="37" t="s">
        <v>859</v>
      </c>
      <c r="AH73" s="35">
        <v>0.41780618780115114</v>
      </c>
      <c r="AI73" s="30">
        <v>0.43054614860472307</v>
      </c>
      <c r="AJ73" s="30">
        <v>0.58520744434943506</v>
      </c>
      <c r="AK73" s="30">
        <v>0.76246099941031253</v>
      </c>
      <c r="AL73" s="30">
        <v>0.71238905960565679</v>
      </c>
      <c r="AM73" s="30">
        <v>0.75840001936434176</v>
      </c>
      <c r="AN73" s="30" t="e">
        <v>#N/A</v>
      </c>
      <c r="AO73" s="30">
        <v>0.9124205338514052</v>
      </c>
      <c r="AP73" s="30" t="e">
        <v>#N/A</v>
      </c>
      <c r="AQ73" s="30">
        <v>0.97649232939663555</v>
      </c>
      <c r="AR73" s="30" t="e">
        <v>#N/A</v>
      </c>
      <c r="AS73" s="30">
        <v>0.53953409689394416</v>
      </c>
      <c r="AT73" s="36">
        <v>-0.641925205810431</v>
      </c>
    </row>
    <row r="74" spans="2:46" x14ac:dyDescent="0.35">
      <c r="B74" s="47"/>
      <c r="C74" s="37" t="s">
        <v>860</v>
      </c>
      <c r="D74" s="35">
        <v>0.38222271569680005</v>
      </c>
      <c r="E74" s="30">
        <v>0.38222271569680005</v>
      </c>
      <c r="F74" s="30">
        <v>0.38222271569679783</v>
      </c>
      <c r="G74" s="30">
        <v>0.38222271569508037</v>
      </c>
      <c r="H74" s="30">
        <v>0.38222271437357186</v>
      </c>
      <c r="I74" s="30">
        <v>0.3822216974668699</v>
      </c>
      <c r="J74" s="30">
        <v>0.38216782052361348</v>
      </c>
      <c r="K74" s="30">
        <v>0.38144019745717012</v>
      </c>
      <c r="L74" s="30">
        <v>0.37927710752320726</v>
      </c>
      <c r="M74" s="30">
        <v>0.36123678233578366</v>
      </c>
      <c r="N74" s="30">
        <v>0.34267420098209445</v>
      </c>
      <c r="O74" s="30">
        <v>0.24928266670231441</v>
      </c>
      <c r="P74" s="36">
        <v>-0.85862456829744338</v>
      </c>
      <c r="AF74" s="47"/>
      <c r="AG74" s="37" t="s">
        <v>860</v>
      </c>
      <c r="AH74" s="35">
        <v>0.47483466602249996</v>
      </c>
      <c r="AI74" s="30">
        <v>0.48492724417999999</v>
      </c>
      <c r="AJ74" s="30">
        <v>0.44331638812250002</v>
      </c>
      <c r="AK74" s="30">
        <v>0.39794382307999998</v>
      </c>
      <c r="AL74" s="30">
        <v>0.41270620506499994</v>
      </c>
      <c r="AM74" s="30">
        <v>0.40196855411249999</v>
      </c>
      <c r="AN74" s="30" t="e">
        <v>#N/A</v>
      </c>
      <c r="AO74" s="30">
        <v>0.46108015162500005</v>
      </c>
      <c r="AP74" s="30" t="e">
        <v>#N/A</v>
      </c>
      <c r="AQ74" s="30">
        <v>0.34764145056000001</v>
      </c>
      <c r="AR74" s="30" t="e">
        <v>#N/A</v>
      </c>
      <c r="AS74" s="30">
        <v>5.2078602812499965E-2</v>
      </c>
      <c r="AT74" s="36">
        <v>-0.69845595741349387</v>
      </c>
    </row>
    <row r="75" spans="2:46" x14ac:dyDescent="0.35">
      <c r="B75" s="47"/>
      <c r="C75" s="37" t="s">
        <v>861</v>
      </c>
      <c r="D75" s="35">
        <v>0.82866567788349987</v>
      </c>
      <c r="E75" s="30">
        <v>0.82866567788349987</v>
      </c>
      <c r="F75" s="30">
        <v>0.82866567788349987</v>
      </c>
      <c r="G75" s="30">
        <v>0.82866567788349987</v>
      </c>
      <c r="H75" s="30">
        <v>0.82866567788349976</v>
      </c>
      <c r="I75" s="30">
        <v>0.8286656778614313</v>
      </c>
      <c r="J75" s="30">
        <v>0.82866564505725104</v>
      </c>
      <c r="K75" s="30">
        <v>0.82866127213886964</v>
      </c>
      <c r="L75" s="30">
        <v>0.82861335964508342</v>
      </c>
      <c r="M75" s="30">
        <v>0.82636459007663532</v>
      </c>
      <c r="N75" s="30">
        <v>0.82027859788641655</v>
      </c>
      <c r="O75" s="30">
        <v>0.71215009983990341</v>
      </c>
      <c r="P75" s="36">
        <v>-0.75994153242705154</v>
      </c>
      <c r="AF75" s="47"/>
      <c r="AG75" s="37" t="s">
        <v>861</v>
      </c>
      <c r="AH75" s="35">
        <v>0.67071090478987117</v>
      </c>
      <c r="AI75" s="30">
        <v>0.69009196223517832</v>
      </c>
      <c r="AJ75" s="30">
        <v>0.76330763790398726</v>
      </c>
      <c r="AK75" s="30">
        <v>0.92349699527854723</v>
      </c>
      <c r="AL75" s="30">
        <v>1.0469315332187723</v>
      </c>
      <c r="AM75" s="30">
        <v>1.1479193997181645</v>
      </c>
      <c r="AN75" s="30" t="e">
        <v>#N/A</v>
      </c>
      <c r="AO75" s="30">
        <v>1.2818172625386737</v>
      </c>
      <c r="AP75" s="30" t="e">
        <v>#N/A</v>
      </c>
      <c r="AQ75" s="30">
        <v>1.3433993383081657</v>
      </c>
      <c r="AR75" s="30" t="e">
        <v>#N/A</v>
      </c>
      <c r="AS75" s="30">
        <v>0.95087856144367933</v>
      </c>
      <c r="AT75" s="36">
        <v>-0.76057214363691183</v>
      </c>
    </row>
    <row r="76" spans="2:46" x14ac:dyDescent="0.35">
      <c r="B76" s="47"/>
      <c r="C76" s="37" t="s">
        <v>862</v>
      </c>
      <c r="D76" s="35">
        <v>0.51294813852299992</v>
      </c>
      <c r="E76" s="30">
        <v>0.51294813852299992</v>
      </c>
      <c r="F76" s="30">
        <v>0.5129481385229997</v>
      </c>
      <c r="G76" s="30">
        <v>0.51294813852270038</v>
      </c>
      <c r="H76" s="30">
        <v>0.51294813810261142</v>
      </c>
      <c r="I76" s="30">
        <v>0.51294754243348928</v>
      </c>
      <c r="J76" s="30">
        <v>0.51290062838684047</v>
      </c>
      <c r="K76" s="30">
        <v>0.51204009789560012</v>
      </c>
      <c r="L76" s="30">
        <v>0.49899056844477352</v>
      </c>
      <c r="M76" s="30">
        <v>0.47377034157536996</v>
      </c>
      <c r="N76" s="30">
        <v>0.42939828689817189</v>
      </c>
      <c r="O76" s="30">
        <v>0.15056507011550546</v>
      </c>
      <c r="P76" s="36">
        <v>-0.83092615923296331</v>
      </c>
      <c r="AF76" s="47"/>
      <c r="AG76" s="37" t="s">
        <v>862</v>
      </c>
      <c r="AH76" s="35">
        <v>0.65493095662879119</v>
      </c>
      <c r="AI76" s="30">
        <v>0.71529282245838455</v>
      </c>
      <c r="AJ76" s="30">
        <v>0.53123881641468074</v>
      </c>
      <c r="AK76" s="30">
        <v>0.51960672691203069</v>
      </c>
      <c r="AL76" s="30">
        <v>0.52930946922975974</v>
      </c>
      <c r="AM76" s="30">
        <v>0.52881609761579695</v>
      </c>
      <c r="AN76" s="30" t="e">
        <v>#N/A</v>
      </c>
      <c r="AO76" s="30">
        <v>0.48601052524480404</v>
      </c>
      <c r="AP76" s="30" t="e">
        <v>#N/A</v>
      </c>
      <c r="AQ76" s="30">
        <v>0.41848076648720423</v>
      </c>
      <c r="AR76" s="30" t="e">
        <v>#N/A</v>
      </c>
      <c r="AS76" s="30">
        <v>0.29465529861352818</v>
      </c>
      <c r="AT76" s="36">
        <v>-0.75151993781043491</v>
      </c>
    </row>
    <row r="77" spans="2:46" x14ac:dyDescent="0.35">
      <c r="B77" s="47"/>
      <c r="C77" s="37" t="s">
        <v>863</v>
      </c>
      <c r="D77" s="35">
        <v>0.37731499017347497</v>
      </c>
      <c r="E77" s="30">
        <v>0.37731499017347497</v>
      </c>
      <c r="F77" s="30">
        <v>0.37731499017347497</v>
      </c>
      <c r="G77" s="30">
        <v>0.37731499017347497</v>
      </c>
      <c r="H77" s="30">
        <v>0.37731499017347397</v>
      </c>
      <c r="I77" s="30">
        <v>0.37731499013891973</v>
      </c>
      <c r="J77" s="30">
        <v>0.37731576340028666</v>
      </c>
      <c r="K77" s="30">
        <v>0.37730241895951266</v>
      </c>
      <c r="L77" s="30">
        <v>0.37720370278005055</v>
      </c>
      <c r="M77" s="30">
        <v>0.37464868406259</v>
      </c>
      <c r="N77" s="30">
        <v>0.36970742732971562</v>
      </c>
      <c r="O77" s="30">
        <v>0.32020069113753935</v>
      </c>
      <c r="P77" s="36">
        <v>-0.35224690558457783</v>
      </c>
      <c r="AF77" s="47"/>
      <c r="AG77" s="37" t="s">
        <v>863</v>
      </c>
      <c r="AH77" s="35">
        <v>0.17171700725584665</v>
      </c>
      <c r="AI77" s="30">
        <v>0.26127567194027618</v>
      </c>
      <c r="AJ77" s="30">
        <v>0.30703998264671467</v>
      </c>
      <c r="AK77" s="30">
        <v>0.36757367588129214</v>
      </c>
      <c r="AL77" s="30">
        <v>0.44973652502128747</v>
      </c>
      <c r="AM77" s="30">
        <v>0.49548137802486192</v>
      </c>
      <c r="AN77" s="30" t="e">
        <v>#N/A</v>
      </c>
      <c r="AO77" s="30">
        <v>0.48690892442443956</v>
      </c>
      <c r="AP77" s="30" t="e">
        <v>#N/A</v>
      </c>
      <c r="AQ77" s="30">
        <v>0.45503324397504114</v>
      </c>
      <c r="AR77" s="30" t="e">
        <v>#N/A</v>
      </c>
      <c r="AS77" s="30">
        <v>0.29573865235752655</v>
      </c>
      <c r="AT77" s="36">
        <v>-0.42282281556754037</v>
      </c>
    </row>
    <row r="78" spans="2:46" x14ac:dyDescent="0.35">
      <c r="B78" s="47"/>
      <c r="C78" s="37" t="s">
        <v>864</v>
      </c>
      <c r="D78" s="35">
        <v>4.2224610123725341</v>
      </c>
      <c r="E78" s="30">
        <v>4.222460902710111</v>
      </c>
      <c r="F78" s="30">
        <v>4.2224589866732396</v>
      </c>
      <c r="G78" s="30">
        <v>4.2224226296813576</v>
      </c>
      <c r="H78" s="30">
        <v>4.2217416783431476</v>
      </c>
      <c r="I78" s="30">
        <v>4.2086592336719297</v>
      </c>
      <c r="J78" s="30">
        <v>4.1326122921625421</v>
      </c>
      <c r="K78" s="30">
        <v>3.9119262410999021</v>
      </c>
      <c r="L78" s="30">
        <v>3.6483044929062256</v>
      </c>
      <c r="M78" s="30">
        <v>2.8144775594978815</v>
      </c>
      <c r="N78" s="30">
        <v>2.347555365052965</v>
      </c>
      <c r="O78" s="30">
        <v>1.0068619373884955</v>
      </c>
      <c r="P78" s="36">
        <v>-0.85743237112924575</v>
      </c>
      <c r="AF78" s="47"/>
      <c r="AG78" s="37" t="s">
        <v>864</v>
      </c>
      <c r="AH78" s="35">
        <v>3.5352488447196633</v>
      </c>
      <c r="AI78" s="30">
        <v>3.947864441385204</v>
      </c>
      <c r="AJ78" s="30">
        <v>4.1736419986392139</v>
      </c>
      <c r="AK78" s="30">
        <v>4.215102496925641</v>
      </c>
      <c r="AL78" s="30">
        <v>4.1628274047633447</v>
      </c>
      <c r="AM78" s="30">
        <v>3.9300566610763408</v>
      </c>
      <c r="AN78" s="30" t="e">
        <v>#N/A</v>
      </c>
      <c r="AO78" s="30">
        <v>3.4295013111174</v>
      </c>
      <c r="AP78" s="30" t="e">
        <v>#N/A</v>
      </c>
      <c r="AQ78" s="30">
        <v>2.6876321706423165</v>
      </c>
      <c r="AR78" s="30" t="e">
        <v>#N/A</v>
      </c>
      <c r="AS78" s="30">
        <v>1.1479676603930453</v>
      </c>
      <c r="AT78" s="36">
        <v>-1.008687056483117</v>
      </c>
    </row>
    <row r="79" spans="2:46" x14ac:dyDescent="0.35">
      <c r="B79" s="47"/>
      <c r="C79" s="37" t="s">
        <v>865</v>
      </c>
      <c r="D79" s="35">
        <v>1.3803736029143334</v>
      </c>
      <c r="E79" s="30">
        <v>1.3803736029143334</v>
      </c>
      <c r="F79" s="30">
        <v>1.3803736029143299</v>
      </c>
      <c r="G79" s="30">
        <v>1.38037360291307</v>
      </c>
      <c r="H79" s="30">
        <v>1.3803736021019255</v>
      </c>
      <c r="I79" s="30">
        <v>1.3803756982644193</v>
      </c>
      <c r="J79" s="30">
        <v>1.3735923469994944</v>
      </c>
      <c r="K79" s="30">
        <v>1.3773019932259833</v>
      </c>
      <c r="L79" s="30">
        <v>1.3686539989860274</v>
      </c>
      <c r="M79" s="30">
        <v>1.2813857462874501</v>
      </c>
      <c r="N79" s="30">
        <v>1.1959112093359927</v>
      </c>
      <c r="O79" s="30">
        <v>0.6693324788770848</v>
      </c>
      <c r="P79" s="36">
        <v>-1.009910689908605</v>
      </c>
      <c r="AF79" s="47"/>
      <c r="AG79" s="37" t="s">
        <v>865</v>
      </c>
      <c r="AH79" s="35">
        <v>0.90789883631395529</v>
      </c>
      <c r="AI79" s="30">
        <v>1.1016501700623018</v>
      </c>
      <c r="AJ79" s="30">
        <v>1.3247704917003462</v>
      </c>
      <c r="AK79" s="30">
        <v>1.4522436176295253</v>
      </c>
      <c r="AL79" s="30">
        <v>1.6055247201992693</v>
      </c>
      <c r="AM79" s="30">
        <v>1.6051623051133799</v>
      </c>
      <c r="AN79" s="30" t="e">
        <v>#N/A</v>
      </c>
      <c r="AO79" s="30">
        <v>1.5524412379339942</v>
      </c>
      <c r="AP79" s="30" t="e">
        <v>#N/A</v>
      </c>
      <c r="AQ79" s="30">
        <v>1.4063675900977932</v>
      </c>
      <c r="AR79" s="30" t="e">
        <v>#N/A</v>
      </c>
      <c r="AS79" s="30">
        <v>0.69324311800807203</v>
      </c>
      <c r="AT79" s="36">
        <v>-1.0784435220960147</v>
      </c>
    </row>
    <row r="80" spans="2:46" x14ac:dyDescent="0.35">
      <c r="B80" s="47"/>
      <c r="C80" s="37" t="s">
        <v>866</v>
      </c>
      <c r="D80" s="35">
        <v>0.80444457628820631</v>
      </c>
      <c r="E80" s="30">
        <v>0.80270415252121674</v>
      </c>
      <c r="F80" s="30">
        <v>0.79956360147741634</v>
      </c>
      <c r="G80" s="30">
        <v>0.79175166474987491</v>
      </c>
      <c r="H80" s="30">
        <v>0.77289121915743275</v>
      </c>
      <c r="I80" s="30">
        <v>0.66502645243092406</v>
      </c>
      <c r="J80" s="30">
        <v>0.68671162356488769</v>
      </c>
      <c r="K80" s="30">
        <v>0.6484753374594886</v>
      </c>
      <c r="L80" s="30">
        <v>0.62670649842842141</v>
      </c>
      <c r="M80" s="30">
        <v>0.58900322074088551</v>
      </c>
      <c r="N80" s="30">
        <v>0.57119873394242993</v>
      </c>
      <c r="O80" s="30">
        <v>0.46875015657451974</v>
      </c>
      <c r="P80" s="36">
        <v>-0.67530500817394479</v>
      </c>
      <c r="AF80" s="47"/>
      <c r="AG80" s="37" t="s">
        <v>866</v>
      </c>
      <c r="AH80" s="35">
        <v>0.79642567057451175</v>
      </c>
      <c r="AI80" s="30">
        <v>0.72988854760329058</v>
      </c>
      <c r="AJ80" s="30">
        <v>0.41888520148830299</v>
      </c>
      <c r="AK80" s="30">
        <v>0.49102927895988874</v>
      </c>
      <c r="AL80" s="30">
        <v>0.5329715061032515</v>
      </c>
      <c r="AM80" s="30">
        <v>0.4212175119947954</v>
      </c>
      <c r="AN80" s="30" t="e">
        <v>#N/A</v>
      </c>
      <c r="AO80" s="30">
        <v>0.30500237325286556</v>
      </c>
      <c r="AP80" s="30" t="e">
        <v>#N/A</v>
      </c>
      <c r="AQ80" s="30">
        <v>0.29882599432045609</v>
      </c>
      <c r="AR80" s="30" t="e">
        <v>#N/A</v>
      </c>
      <c r="AS80" s="30">
        <v>0.37743686404957116</v>
      </c>
      <c r="AT80" s="36">
        <v>-0.71980367993420946</v>
      </c>
    </row>
    <row r="81" spans="2:65" x14ac:dyDescent="0.35">
      <c r="B81" s="47"/>
      <c r="C81" s="37" t="s">
        <v>867</v>
      </c>
      <c r="D81" s="35">
        <v>1.1273304577560612</v>
      </c>
      <c r="E81" s="30">
        <v>1.1273304577560612</v>
      </c>
      <c r="F81" s="30">
        <v>1.1273304577560606</v>
      </c>
      <c r="G81" s="30">
        <v>1.1273304577552676</v>
      </c>
      <c r="H81" s="30">
        <v>1.1273304568644718</v>
      </c>
      <c r="I81" s="30">
        <v>1.1273294400174607</v>
      </c>
      <c r="J81" s="30">
        <v>1.1272585846698564</v>
      </c>
      <c r="K81" s="30">
        <v>1.1260417122265314</v>
      </c>
      <c r="L81" s="30">
        <v>1.1217246459310009</v>
      </c>
      <c r="M81" s="30">
        <v>1.0738329211925259</v>
      </c>
      <c r="N81" s="30">
        <v>1.0125563148383991</v>
      </c>
      <c r="O81" s="30">
        <v>0.61265212516952761</v>
      </c>
      <c r="P81" s="36">
        <v>-0.8308717412764075</v>
      </c>
      <c r="AF81" s="47"/>
      <c r="AG81" s="37" t="s">
        <v>867</v>
      </c>
      <c r="AH81" s="35">
        <v>0.6162285987466718</v>
      </c>
      <c r="AI81" s="30">
        <v>0.74457367754736581</v>
      </c>
      <c r="AJ81" s="30">
        <v>0.91411516293329065</v>
      </c>
      <c r="AK81" s="30">
        <v>1.153317225180716</v>
      </c>
      <c r="AL81" s="30">
        <v>1.2484447951908257</v>
      </c>
      <c r="AM81" s="30">
        <v>1.397842411668625</v>
      </c>
      <c r="AN81" s="30" t="e">
        <v>#N/A</v>
      </c>
      <c r="AO81" s="30">
        <v>1.3259554980303458</v>
      </c>
      <c r="AP81" s="30" t="e">
        <v>#N/A</v>
      </c>
      <c r="AQ81" s="30">
        <v>1.1882445300241464</v>
      </c>
      <c r="AR81" s="30" t="e">
        <v>#N/A</v>
      </c>
      <c r="AS81" s="30">
        <v>0.59582674007262448</v>
      </c>
      <c r="AT81" s="36">
        <v>-0.6058649761696826</v>
      </c>
    </row>
    <row r="82" spans="2:65" x14ac:dyDescent="0.35">
      <c r="B82" s="48"/>
      <c r="C82" s="38" t="s">
        <v>868</v>
      </c>
      <c r="D82" s="39">
        <v>3.347092857795797</v>
      </c>
      <c r="E82" s="40">
        <v>3.3470928565854572</v>
      </c>
      <c r="F82" s="40">
        <v>3.3470928255558392</v>
      </c>
      <c r="G82" s="40">
        <v>3.3470916519204934</v>
      </c>
      <c r="H82" s="40">
        <v>3.3470463584894694</v>
      </c>
      <c r="I82" s="40">
        <v>3.3451919379351231</v>
      </c>
      <c r="J82" s="40">
        <v>3.3283741407274161</v>
      </c>
      <c r="K82" s="40">
        <v>3.2568297166116666</v>
      </c>
      <c r="L82" s="40">
        <v>3.1447733605664334</v>
      </c>
      <c r="M82" s="40">
        <v>2.6590161766006095</v>
      </c>
      <c r="N82" s="40">
        <v>2.3156312440583129</v>
      </c>
      <c r="O82" s="40">
        <v>1.1301076252194442</v>
      </c>
      <c r="P82" s="41">
        <v>-0.76176074318440912</v>
      </c>
      <c r="AF82" s="48"/>
      <c r="AG82" s="38" t="s">
        <v>868</v>
      </c>
      <c r="AH82" s="39">
        <v>3.1688652597550879</v>
      </c>
      <c r="AI82" s="40">
        <v>3.4755913468124473</v>
      </c>
      <c r="AJ82" s="40">
        <v>3.6028866178740238</v>
      </c>
      <c r="AK82" s="40">
        <v>3.6345073182827834</v>
      </c>
      <c r="AL82" s="40">
        <v>3.7335527112512046</v>
      </c>
      <c r="AM82" s="40">
        <v>3.6933107578566005</v>
      </c>
      <c r="AN82" s="40" t="e">
        <v>#N/A</v>
      </c>
      <c r="AO82" s="40">
        <v>3.4137059547077055</v>
      </c>
      <c r="AP82" s="40" t="e">
        <v>#N/A</v>
      </c>
      <c r="AQ82" s="40">
        <v>2.7916809874543942</v>
      </c>
      <c r="AR82" s="40" t="e">
        <v>#N/A</v>
      </c>
      <c r="AS82" s="40">
        <v>1.2955259047475143</v>
      </c>
      <c r="AT82" s="41">
        <v>-0.76838386084417587</v>
      </c>
    </row>
    <row r="83" spans="2:65" ht="15" customHeight="1" x14ac:dyDescent="0.35">
      <c r="B83" s="46" t="s">
        <v>877</v>
      </c>
      <c r="C83" s="30" t="s">
        <v>16</v>
      </c>
      <c r="D83" s="35">
        <v>0.37190514549502046</v>
      </c>
      <c r="E83" s="30">
        <v>0.37191192413204494</v>
      </c>
      <c r="F83" s="30">
        <v>0.37194051135588713</v>
      </c>
      <c r="G83" s="30">
        <v>0.37208718827536225</v>
      </c>
      <c r="H83" s="30">
        <v>0.37288992468640325</v>
      </c>
      <c r="I83" s="30">
        <v>0.37811495281173585</v>
      </c>
      <c r="J83" s="30">
        <v>0.39065216337571806</v>
      </c>
      <c r="K83" s="30">
        <v>0.39996007675726913</v>
      </c>
      <c r="L83" s="30">
        <v>0.39652054441331569</v>
      </c>
      <c r="M83" s="30">
        <v>0.36699189087753942</v>
      </c>
      <c r="N83" s="30">
        <v>0.37107830042035828</v>
      </c>
      <c r="O83" s="30">
        <v>0.46865263038957289</v>
      </c>
      <c r="P83" s="36">
        <v>0.49882976325734085</v>
      </c>
      <c r="AF83" s="47" t="s">
        <v>878</v>
      </c>
      <c r="AG83" s="30" t="s">
        <v>16</v>
      </c>
      <c r="AH83" s="35">
        <v>0.39518855173510276</v>
      </c>
      <c r="AI83" s="30">
        <v>0.41118288971438244</v>
      </c>
      <c r="AJ83" s="30">
        <v>0.31321621013233669</v>
      </c>
      <c r="AK83" s="30">
        <v>0.4078835291487074</v>
      </c>
      <c r="AL83" s="30">
        <v>0.38773309023184288</v>
      </c>
      <c r="AM83" s="30">
        <v>0.40063950672102788</v>
      </c>
      <c r="AN83" s="30" t="e">
        <v>#N/A</v>
      </c>
      <c r="AO83" s="30">
        <v>0.519253339261048</v>
      </c>
      <c r="AP83" s="30" t="e">
        <v>#N/A</v>
      </c>
      <c r="AQ83" s="30">
        <v>0.47620869229469032</v>
      </c>
      <c r="AR83" s="30" t="e">
        <v>#N/A</v>
      </c>
      <c r="AS83" s="30">
        <v>0.27359979041374449</v>
      </c>
      <c r="AT83" s="36">
        <v>0.22395007679527823</v>
      </c>
    </row>
    <row r="84" spans="2:65" x14ac:dyDescent="0.35">
      <c r="B84" s="47"/>
      <c r="C84" s="30" t="s">
        <v>44</v>
      </c>
      <c r="D84" s="35">
        <v>0.53101972695997635</v>
      </c>
      <c r="E84" s="30">
        <v>0.53101972695997635</v>
      </c>
      <c r="F84" s="30">
        <v>0.53101972695997501</v>
      </c>
      <c r="G84" s="30">
        <v>0.53101972695988597</v>
      </c>
      <c r="H84" s="30">
        <v>0.53101972692976063</v>
      </c>
      <c r="I84" s="30">
        <v>0.5310188316758796</v>
      </c>
      <c r="J84" s="30">
        <v>0.53093802988570549</v>
      </c>
      <c r="K84" s="30">
        <v>0.52235730243319989</v>
      </c>
      <c r="L84" s="30">
        <v>0.51730021699558359</v>
      </c>
      <c r="M84" s="30">
        <v>0.47297378133859547</v>
      </c>
      <c r="N84" s="30">
        <v>0.4321092808894722</v>
      </c>
      <c r="O84" s="30">
        <v>0.31073664158200892</v>
      </c>
      <c r="P84" s="36">
        <v>0.14329829801689356</v>
      </c>
      <c r="AF84" s="47"/>
      <c r="AG84" s="30" t="s">
        <v>44</v>
      </c>
      <c r="AH84" s="35">
        <v>0.42123041002319406</v>
      </c>
      <c r="AI84" s="30">
        <v>0.45702839772566717</v>
      </c>
      <c r="AJ84" s="30">
        <v>0.5036511014589059</v>
      </c>
      <c r="AK84" s="30">
        <v>0.53463090601320218</v>
      </c>
      <c r="AL84" s="30">
        <v>0.60972933192963064</v>
      </c>
      <c r="AM84" s="30">
        <v>0.47374465513541031</v>
      </c>
      <c r="AN84" s="30" t="e">
        <v>#N/A</v>
      </c>
      <c r="AO84" s="30">
        <v>0.47702396828660126</v>
      </c>
      <c r="AP84" s="30" t="e">
        <v>#N/A</v>
      </c>
      <c r="AQ84" s="30">
        <v>0.44523628727940956</v>
      </c>
      <c r="AR84" s="30" t="e">
        <v>#N/A</v>
      </c>
      <c r="AS84" s="30">
        <v>0.25986266057855928</v>
      </c>
      <c r="AT84" s="36">
        <v>0.16046496451743289</v>
      </c>
    </row>
    <row r="85" spans="2:65" x14ac:dyDescent="0.35">
      <c r="B85" s="47"/>
      <c r="C85" s="30" t="s">
        <v>69</v>
      </c>
      <c r="D85" s="35">
        <v>2.8951597365078641</v>
      </c>
      <c r="E85" s="30">
        <v>2.8951420961796415</v>
      </c>
      <c r="F85" s="30">
        <v>2.8950157711533615</v>
      </c>
      <c r="G85" s="30">
        <v>2.8939922756643903</v>
      </c>
      <c r="H85" s="30">
        <v>2.8856050449243034</v>
      </c>
      <c r="I85" s="30">
        <v>2.8162728879287395</v>
      </c>
      <c r="J85" s="30">
        <v>2.6213910278508714</v>
      </c>
      <c r="K85" s="30">
        <v>2.2960383378084468</v>
      </c>
      <c r="L85" s="30">
        <v>2.038883522544864</v>
      </c>
      <c r="M85" s="30">
        <v>1.5802646408028189</v>
      </c>
      <c r="N85" s="30">
        <v>1.4586380225989386</v>
      </c>
      <c r="O85" s="30">
        <v>1.239934646174049</v>
      </c>
      <c r="P85" s="36">
        <v>0.91350230487148587</v>
      </c>
      <c r="AF85" s="47"/>
      <c r="AG85" s="30" t="s">
        <v>69</v>
      </c>
      <c r="AH85" s="35">
        <v>2.7657682524928804</v>
      </c>
      <c r="AI85" s="30">
        <v>2.5432267213091304</v>
      </c>
      <c r="AJ85" s="30">
        <v>2.5551905378708271</v>
      </c>
      <c r="AK85" s="30">
        <v>2.5093397957785397</v>
      </c>
      <c r="AL85" s="30">
        <v>2.4649292473252271</v>
      </c>
      <c r="AM85" s="30">
        <v>2.3690051440539568</v>
      </c>
      <c r="AN85" s="30" t="e">
        <v>#N/A</v>
      </c>
      <c r="AO85" s="30">
        <v>2.3131582386015017</v>
      </c>
      <c r="AP85" s="30" t="e">
        <v>#N/A</v>
      </c>
      <c r="AQ85" s="30">
        <v>1.5767461128535762</v>
      </c>
      <c r="AR85" s="30" t="e">
        <v>#N/A</v>
      </c>
      <c r="AS85" s="30">
        <v>1.6755675384028337</v>
      </c>
      <c r="AT85" s="36">
        <v>2.1230458169767519</v>
      </c>
    </row>
    <row r="86" spans="2:65" x14ac:dyDescent="0.35">
      <c r="B86" s="47"/>
      <c r="C86" s="30" t="s">
        <v>94</v>
      </c>
      <c r="D86" s="35">
        <v>0.24244831509293746</v>
      </c>
      <c r="E86" s="30">
        <v>0.24244831509292647</v>
      </c>
      <c r="F86" s="30">
        <v>0.24244831509094428</v>
      </c>
      <c r="G86" s="30">
        <v>0.24244831472019848</v>
      </c>
      <c r="H86" s="30">
        <v>0.24244824540239712</v>
      </c>
      <c r="I86" s="30">
        <v>0.24243532859077152</v>
      </c>
      <c r="J86" s="30">
        <v>0.24215349283698961</v>
      </c>
      <c r="K86" s="30">
        <v>0.2401106695270096</v>
      </c>
      <c r="L86" s="30">
        <v>0.23662472900689802</v>
      </c>
      <c r="M86" s="30">
        <v>0.2278613816746676</v>
      </c>
      <c r="N86" s="30">
        <v>0.23375524256411687</v>
      </c>
      <c r="O86" s="30">
        <v>0.33353963512999696</v>
      </c>
      <c r="P86" s="36">
        <v>0.222041065991153</v>
      </c>
      <c r="AF86" s="47"/>
      <c r="AG86" s="30" t="s">
        <v>94</v>
      </c>
      <c r="AH86" s="35">
        <v>0.24651253747744625</v>
      </c>
      <c r="AI86" s="30">
        <v>0.25355778988787536</v>
      </c>
      <c r="AJ86" s="30">
        <v>0.18875675827280614</v>
      </c>
      <c r="AK86" s="30">
        <v>0.17717566020472314</v>
      </c>
      <c r="AL86" s="30">
        <v>0.21910221812403988</v>
      </c>
      <c r="AM86" s="30">
        <v>0.21985180963619061</v>
      </c>
      <c r="AN86" s="30" t="e">
        <v>#N/A</v>
      </c>
      <c r="AO86" s="30">
        <v>0.26154904605254387</v>
      </c>
      <c r="AP86" s="30" t="e">
        <v>#N/A</v>
      </c>
      <c r="AQ86" s="30">
        <v>0.31872697550752688</v>
      </c>
      <c r="AR86" s="30" t="e">
        <v>#N/A</v>
      </c>
      <c r="AS86" s="30">
        <v>0.22177996361788191</v>
      </c>
      <c r="AT86" s="36">
        <v>0.21448797315684476</v>
      </c>
      <c r="AY86" t="str">
        <f>_xlfn.CONCAT(AY82:AY84)</f>
        <v/>
      </c>
    </row>
    <row r="87" spans="2:65" x14ac:dyDescent="0.35">
      <c r="B87" s="47"/>
      <c r="C87" s="30" t="s">
        <v>119</v>
      </c>
      <c r="D87">
        <v>0.12950269616218485</v>
      </c>
      <c r="E87">
        <v>0.12950269616218485</v>
      </c>
      <c r="F87">
        <v>0.12950269616218485</v>
      </c>
      <c r="G87">
        <v>0.12950269616218485</v>
      </c>
      <c r="H87">
        <v>0.12950269616218485</v>
      </c>
      <c r="I87">
        <v>0.12950269616218485</v>
      </c>
      <c r="J87">
        <v>0.12950269616218485</v>
      </c>
      <c r="K87">
        <v>0.12950269616218485</v>
      </c>
      <c r="L87">
        <v>0.12950269616218485</v>
      </c>
      <c r="M87">
        <v>0.12950269616218485</v>
      </c>
      <c r="N87">
        <v>0.12950269616218485</v>
      </c>
      <c r="O87">
        <v>0.12950269616218485</v>
      </c>
      <c r="P87">
        <v>0.18829782916813134</v>
      </c>
      <c r="AF87" s="47"/>
      <c r="AG87" s="30" t="s">
        <v>119</v>
      </c>
      <c r="AH87" s="35">
        <v>5.8030445347233867E-2</v>
      </c>
      <c r="AI87" s="30">
        <v>0.10060395886007788</v>
      </c>
      <c r="AJ87" s="30">
        <v>0.25898213754648247</v>
      </c>
      <c r="AK87" s="30">
        <v>0.37524009260800284</v>
      </c>
      <c r="AL87" s="30">
        <v>0.5971779627388506</v>
      </c>
      <c r="AM87" s="30">
        <v>0.82861477873241429</v>
      </c>
      <c r="AN87" s="30" t="e">
        <v>#N/A</v>
      </c>
      <c r="AO87" s="30">
        <v>0.85845380366482382</v>
      </c>
      <c r="AP87" s="30" t="e">
        <v>#N/A</v>
      </c>
      <c r="AQ87" s="30">
        <v>0.81174172184047788</v>
      </c>
      <c r="AR87" s="30" t="e">
        <v>#N/A</v>
      </c>
      <c r="AS87" s="30">
        <v>0.52721771141551399</v>
      </c>
      <c r="AT87" s="36">
        <v>0.11314656493946212</v>
      </c>
    </row>
    <row r="88" spans="2:65" x14ac:dyDescent="0.35">
      <c r="B88" s="47"/>
      <c r="C88" s="30" t="s">
        <v>144</v>
      </c>
      <c r="D88" s="35">
        <v>0.31844034773636248</v>
      </c>
      <c r="E88" s="30">
        <v>0.31844034773636248</v>
      </c>
      <c r="F88" s="30">
        <v>0.31844034773636043</v>
      </c>
      <c r="G88" s="30">
        <v>0.31844034773482149</v>
      </c>
      <c r="H88" s="30">
        <v>0.31844034655060938</v>
      </c>
      <c r="I88" s="30">
        <v>0.31843943530089275</v>
      </c>
      <c r="J88" s="30">
        <v>0.31839117568495623</v>
      </c>
      <c r="K88" s="30">
        <v>0.31774317222843318</v>
      </c>
      <c r="L88" s="30">
        <v>0.31585841370020173</v>
      </c>
      <c r="M88" s="30">
        <v>0.30269414958764329</v>
      </c>
      <c r="N88" s="30">
        <v>0.29424923107238893</v>
      </c>
      <c r="O88" s="30">
        <v>0.31588428803349394</v>
      </c>
      <c r="P88" s="36">
        <v>4.7048716468798421E-2</v>
      </c>
      <c r="AF88" s="47"/>
      <c r="AG88" s="30" t="s">
        <v>144</v>
      </c>
      <c r="AH88" s="35">
        <v>0.3585168440701399</v>
      </c>
      <c r="AI88" s="30">
        <v>0.35886546569526517</v>
      </c>
      <c r="AJ88" s="30">
        <v>0.28587548513238242</v>
      </c>
      <c r="AK88" s="30">
        <v>0.24246950396797948</v>
      </c>
      <c r="AL88" s="30">
        <v>0.31332416937904883</v>
      </c>
      <c r="AM88" s="30">
        <v>0.21986514885689107</v>
      </c>
      <c r="AN88" s="30" t="e">
        <v>#N/A</v>
      </c>
      <c r="AO88" s="30">
        <v>0.2578001639172306</v>
      </c>
      <c r="AP88" s="30" t="e">
        <v>#N/A</v>
      </c>
      <c r="AQ88" s="30">
        <v>0.26217631686195447</v>
      </c>
      <c r="AR88" s="30" t="e">
        <v>#N/A</v>
      </c>
      <c r="AS88" s="30">
        <v>0.588848045274452</v>
      </c>
      <c r="AT88" s="36">
        <v>0.28057518033684858</v>
      </c>
    </row>
    <row r="89" spans="2:65" x14ac:dyDescent="0.35">
      <c r="B89" s="47"/>
      <c r="C89" s="30" t="s">
        <v>169</v>
      </c>
      <c r="D89" s="35">
        <v>0.53049201861798578</v>
      </c>
      <c r="E89" s="30">
        <v>0.53049201861798578</v>
      </c>
      <c r="F89" s="30">
        <v>0.53049201861798578</v>
      </c>
      <c r="G89" s="30">
        <v>0.53049201861798578</v>
      </c>
      <c r="H89" s="30">
        <v>0.53049201861798601</v>
      </c>
      <c r="I89" s="30">
        <v>0.53049201862412698</v>
      </c>
      <c r="J89" s="30">
        <v>0.53049202739934731</v>
      </c>
      <c r="K89" s="30">
        <v>0.53049307376258614</v>
      </c>
      <c r="L89" s="30">
        <v>0.53050279555566049</v>
      </c>
      <c r="M89" s="30">
        <v>0.53070334668043528</v>
      </c>
      <c r="N89" s="30">
        <v>0.5307201496929389</v>
      </c>
      <c r="O89" s="30">
        <v>0.51929447878612522</v>
      </c>
      <c r="P89" s="36">
        <v>0.5050458802991451</v>
      </c>
      <c r="AF89" s="47"/>
      <c r="AG89" s="30" t="s">
        <v>169</v>
      </c>
      <c r="AH89" s="35">
        <v>0.38223637210008671</v>
      </c>
      <c r="AI89" s="30">
        <v>0.40885509456048702</v>
      </c>
      <c r="AJ89" s="30">
        <v>0.49205215823519449</v>
      </c>
      <c r="AK89" s="30">
        <v>0.55882465644319346</v>
      </c>
      <c r="AL89" s="30">
        <v>0.77881797916708762</v>
      </c>
      <c r="AM89" s="30">
        <v>0.86564535907769802</v>
      </c>
      <c r="AN89" s="30" t="e">
        <v>#N/A</v>
      </c>
      <c r="AO89" s="30">
        <v>1.0226052049811629</v>
      </c>
      <c r="AP89" s="30" t="e">
        <v>#N/A</v>
      </c>
      <c r="AQ89" s="30">
        <v>0.9951299863800358</v>
      </c>
      <c r="AR89" s="30" t="e">
        <v>#N/A</v>
      </c>
      <c r="AS89" s="30">
        <v>0.69798557417131801</v>
      </c>
      <c r="AT89" s="36">
        <v>0.45238169890994667</v>
      </c>
    </row>
    <row r="90" spans="2:65" x14ac:dyDescent="0.35">
      <c r="B90" s="47"/>
      <c r="C90" s="30" t="s">
        <v>194</v>
      </c>
      <c r="D90" s="35">
        <v>0.25800373514537212</v>
      </c>
      <c r="E90" s="30">
        <v>0.25800373514537212</v>
      </c>
      <c r="F90" s="30">
        <v>0.25800373514537167</v>
      </c>
      <c r="G90" s="30">
        <v>0.25800373514491726</v>
      </c>
      <c r="H90" s="30">
        <v>0.25800373450912195</v>
      </c>
      <c r="I90" s="30">
        <v>0.25800284612100555</v>
      </c>
      <c r="J90" s="30">
        <v>0.25793539460293891</v>
      </c>
      <c r="K90" s="30">
        <v>0.25677507690510953</v>
      </c>
      <c r="L90" s="30">
        <v>0.25551312426220996</v>
      </c>
      <c r="M90" s="30">
        <v>0.21627860712275182</v>
      </c>
      <c r="N90" s="30">
        <v>0.18098079233568753</v>
      </c>
      <c r="O90" s="30">
        <v>0.21479821548419775</v>
      </c>
      <c r="P90" s="36">
        <v>0.55010049070703271</v>
      </c>
      <c r="U90" t="str">
        <f>_xlfn.CONCAT(U86:U88)</f>
        <v/>
      </c>
      <c r="AF90" s="47"/>
      <c r="AG90" s="30" t="s">
        <v>194</v>
      </c>
      <c r="AH90" s="35">
        <v>0.39781508166909102</v>
      </c>
      <c r="AI90" s="30">
        <v>0.34395048794653366</v>
      </c>
      <c r="AJ90" s="30">
        <v>0.40607323163750869</v>
      </c>
      <c r="AK90" s="30">
        <v>0.37746887161842468</v>
      </c>
      <c r="AL90" s="30">
        <v>0.4167128472252648</v>
      </c>
      <c r="AM90" s="30">
        <v>0.44014231261093056</v>
      </c>
      <c r="AN90" s="30" t="e">
        <v>#N/A</v>
      </c>
      <c r="AO90" s="30">
        <v>0.42002642605733531</v>
      </c>
      <c r="AP90" s="30" t="e">
        <v>#N/A</v>
      </c>
      <c r="AQ90" s="30">
        <v>0.43522949766563179</v>
      </c>
      <c r="AR90" s="30" t="e">
        <v>#N/A</v>
      </c>
      <c r="AS90" s="30">
        <v>0.41154945855541136</v>
      </c>
      <c r="AT90" s="36">
        <v>0.40917297826370158</v>
      </c>
      <c r="BM90" t="str">
        <f>_xlfn.CONCAT(BM86:BM88)</f>
        <v/>
      </c>
    </row>
    <row r="91" spans="2:65" x14ac:dyDescent="0.35">
      <c r="B91" s="47"/>
      <c r="C91" s="30" t="s">
        <v>218</v>
      </c>
      <c r="D91" s="35">
        <v>0.34766137715909001</v>
      </c>
      <c r="E91" s="30">
        <v>0.34766137715909001</v>
      </c>
      <c r="F91" s="30">
        <v>0.34766137715909001</v>
      </c>
      <c r="G91" s="30">
        <v>0.34766137715909001</v>
      </c>
      <c r="H91" s="30">
        <v>0.34766137715908818</v>
      </c>
      <c r="I91" s="30">
        <v>0.34766137709467282</v>
      </c>
      <c r="J91" s="30">
        <v>0.34766281859531573</v>
      </c>
      <c r="K91" s="30">
        <v>0.34763794224320349</v>
      </c>
      <c r="L91" s="30">
        <v>0.34745392651815776</v>
      </c>
      <c r="M91" s="30">
        <v>0.34269634011491756</v>
      </c>
      <c r="N91" s="30">
        <v>0.33352503101394876</v>
      </c>
      <c r="O91" s="30">
        <v>0.24471324297934216</v>
      </c>
      <c r="P91" s="36">
        <v>0.11013820459239181</v>
      </c>
      <c r="AF91" s="47"/>
      <c r="AG91" s="30" t="s">
        <v>218</v>
      </c>
      <c r="AH91" s="35">
        <v>6.5136129736594606E-2</v>
      </c>
      <c r="AI91" s="30">
        <v>0.10971974272097416</v>
      </c>
      <c r="AJ91" s="30">
        <v>0.13420019895518226</v>
      </c>
      <c r="AK91" s="30">
        <v>0.18885415254940832</v>
      </c>
      <c r="AL91" s="30">
        <v>0.27630388278126256</v>
      </c>
      <c r="AM91" s="30">
        <v>0.37216812525136123</v>
      </c>
      <c r="AN91" s="30" t="e">
        <v>#N/A</v>
      </c>
      <c r="AO91" s="30">
        <v>0.37340468643215513</v>
      </c>
      <c r="AP91" s="30" t="e">
        <v>#N/A</v>
      </c>
      <c r="AQ91" s="30">
        <v>0.31174926071300674</v>
      </c>
      <c r="AR91" s="30" t="e">
        <v>#N/A</v>
      </c>
      <c r="AS91" s="30">
        <v>0.25167776143641818</v>
      </c>
      <c r="AT91" s="36">
        <v>4.6433725085891518E-2</v>
      </c>
    </row>
    <row r="92" spans="2:65" x14ac:dyDescent="0.35">
      <c r="B92" s="47"/>
      <c r="C92" s="30" t="s">
        <v>243</v>
      </c>
      <c r="D92" s="35">
        <v>1.5498668733383529</v>
      </c>
      <c r="E92" s="30">
        <v>1.5498667699095474</v>
      </c>
      <c r="F92" s="30">
        <v>1.549864971021444</v>
      </c>
      <c r="G92" s="30">
        <v>1.5498315957346616</v>
      </c>
      <c r="H92" s="30">
        <v>1.5492100201675707</v>
      </c>
      <c r="I92" s="30">
        <v>1.5365869986302929</v>
      </c>
      <c r="J92" s="30">
        <v>1.4761309287325404</v>
      </c>
      <c r="K92" s="30">
        <v>1.3202847199864636</v>
      </c>
      <c r="L92" s="30">
        <v>1.1560296149741127</v>
      </c>
      <c r="M92" s="30">
        <v>0.7463450466253756</v>
      </c>
      <c r="N92" s="30">
        <v>0.58413562465491042</v>
      </c>
      <c r="O92" s="30">
        <v>0.36345335892630404</v>
      </c>
      <c r="P92" s="36">
        <v>0.37502876761787435</v>
      </c>
      <c r="AF92" s="47"/>
      <c r="AG92" s="30" t="s">
        <v>243</v>
      </c>
      <c r="AH92" s="35">
        <v>1.5051385141956373</v>
      </c>
      <c r="AI92" s="30">
        <v>1.6115178692262857</v>
      </c>
      <c r="AJ92" s="30">
        <v>1.6133986669506881</v>
      </c>
      <c r="AK92" s="30">
        <v>1.5446892273824728</v>
      </c>
      <c r="AL92" s="30">
        <v>1.3764318317642212</v>
      </c>
      <c r="AM92" s="30">
        <v>1.3429086951317659</v>
      </c>
      <c r="AN92" s="30" t="e">
        <v>#N/A</v>
      </c>
      <c r="AO92" s="30">
        <v>1.1561006831172616</v>
      </c>
      <c r="AP92" s="30" t="e">
        <v>#N/A</v>
      </c>
      <c r="AQ92" s="30">
        <v>0.77757856460992636</v>
      </c>
      <c r="AR92" s="30" t="e">
        <v>#N/A</v>
      </c>
      <c r="AS92" s="30">
        <v>0.46839449861735477</v>
      </c>
      <c r="AT92" s="36">
        <v>0.30285319809330136</v>
      </c>
    </row>
    <row r="93" spans="2:65" x14ac:dyDescent="0.35">
      <c r="B93" s="47"/>
      <c r="C93" s="30" t="s">
        <v>268</v>
      </c>
      <c r="D93" s="35">
        <v>1.1208124740993506</v>
      </c>
      <c r="E93" s="30">
        <v>1.1208124740993506</v>
      </c>
      <c r="F93" s="30">
        <v>1.1208124740993461</v>
      </c>
      <c r="G93" s="30">
        <v>1.1208124740975329</v>
      </c>
      <c r="H93" s="30">
        <v>1.1208124730338933</v>
      </c>
      <c r="I93" s="30">
        <v>1.1208159706915604</v>
      </c>
      <c r="J93" s="30">
        <v>1.1108195146639295</v>
      </c>
      <c r="K93" s="30">
        <v>1.117004490476796</v>
      </c>
      <c r="L93" s="30">
        <v>1.1070957635341951</v>
      </c>
      <c r="M93" s="30">
        <v>1.0175181054909339</v>
      </c>
      <c r="N93" s="30">
        <v>0.94671790766675945</v>
      </c>
      <c r="O93" s="30">
        <v>0.60774599279527697</v>
      </c>
      <c r="P93" s="36">
        <v>0.58116729862912098</v>
      </c>
      <c r="AF93" s="47"/>
      <c r="AG93" s="30" t="s">
        <v>268</v>
      </c>
      <c r="AH93" s="35">
        <v>0.79250357873037947</v>
      </c>
      <c r="AI93" s="30">
        <v>0.84929153491466469</v>
      </c>
      <c r="AJ93" s="30">
        <v>0.88412835512130461</v>
      </c>
      <c r="AK93" s="30">
        <v>0.98301734158850396</v>
      </c>
      <c r="AL93" s="30">
        <v>0.99829638694222711</v>
      </c>
      <c r="AM93" s="30">
        <v>1.0103677965933304</v>
      </c>
      <c r="AN93" s="30" t="e">
        <v>#N/A</v>
      </c>
      <c r="AO93" s="30">
        <v>0.9676746430326203</v>
      </c>
      <c r="AP93" s="30" t="e">
        <v>#N/A</v>
      </c>
      <c r="AQ93" s="30">
        <v>0.91381375691677347</v>
      </c>
      <c r="AR93" s="30" t="e">
        <v>#N/A</v>
      </c>
      <c r="AS93" s="30">
        <v>0.53048869378328667</v>
      </c>
      <c r="AT93" s="36">
        <v>0.50872926473896718</v>
      </c>
    </row>
    <row r="94" spans="2:65" x14ac:dyDescent="0.35">
      <c r="B94" s="47"/>
      <c r="C94" s="30" t="s">
        <v>291</v>
      </c>
      <c r="D94" s="35">
        <v>0.49648565394721267</v>
      </c>
      <c r="E94" s="30">
        <v>0.49504302977206294</v>
      </c>
      <c r="F94" s="30">
        <v>0.49252253576351945</v>
      </c>
      <c r="G94" s="30">
        <v>0.48672393263612873</v>
      </c>
      <c r="H94" s="30">
        <v>0.47561477539503239</v>
      </c>
      <c r="I94" s="30">
        <v>0.49707437811191146</v>
      </c>
      <c r="J94" s="30">
        <v>0.48132484346290344</v>
      </c>
      <c r="K94" s="30">
        <v>0.51247985430923004</v>
      </c>
      <c r="L94" s="30">
        <v>0.53667490311752231</v>
      </c>
      <c r="M94" s="30">
        <v>0.58334321828896474</v>
      </c>
      <c r="N94" s="30">
        <v>0.59917979028670065</v>
      </c>
      <c r="O94" s="30">
        <v>0.57974465869362501</v>
      </c>
      <c r="P94" s="36">
        <v>0.14207759619235871</v>
      </c>
      <c r="AF94" s="47"/>
      <c r="AG94" s="30" t="s">
        <v>291</v>
      </c>
      <c r="AH94" s="35">
        <v>0.40150819762153972</v>
      </c>
      <c r="AI94" s="30">
        <v>0.33311624215781244</v>
      </c>
      <c r="AJ94" s="30">
        <v>0.50823959966822396</v>
      </c>
      <c r="AK94" s="30">
        <v>0.18678800404336218</v>
      </c>
      <c r="AL94" s="30">
        <v>0.24123151227358947</v>
      </c>
      <c r="AM94" s="30">
        <v>0.22413168844383385</v>
      </c>
      <c r="AN94" s="30" t="e">
        <v>#N/A</v>
      </c>
      <c r="AO94" s="30">
        <v>0.18480549371829466</v>
      </c>
      <c r="AP94" s="30" t="e">
        <v>#N/A</v>
      </c>
      <c r="AQ94" s="30">
        <v>0.20765449275675515</v>
      </c>
      <c r="AR94" s="30" t="e">
        <v>#N/A</v>
      </c>
      <c r="AS94" s="30">
        <v>0.1680277341792919</v>
      </c>
      <c r="AT94" s="36">
        <v>0.26234469042899555</v>
      </c>
    </row>
    <row r="95" spans="2:65" x14ac:dyDescent="0.35">
      <c r="B95" s="47"/>
      <c r="C95" s="30" t="s">
        <v>316</v>
      </c>
      <c r="D95" s="35">
        <v>0.65428924709389724</v>
      </c>
      <c r="E95" s="30">
        <v>0.65428924709389724</v>
      </c>
      <c r="F95" s="30">
        <v>0.65428924709389713</v>
      </c>
      <c r="G95" s="30">
        <v>0.65428924709310343</v>
      </c>
      <c r="H95" s="30">
        <v>0.65428924620276308</v>
      </c>
      <c r="I95" s="30">
        <v>0.65428823460719254</v>
      </c>
      <c r="J95" s="30">
        <v>0.65421852091869748</v>
      </c>
      <c r="K95" s="30">
        <v>0.65305384878155148</v>
      </c>
      <c r="L95" s="30">
        <v>0.64906123544109551</v>
      </c>
      <c r="M95" s="30">
        <v>0.60884062601526845</v>
      </c>
      <c r="N95" s="30">
        <v>0.56214936250357384</v>
      </c>
      <c r="O95" s="30">
        <v>0.29996199325559864</v>
      </c>
      <c r="P95" s="36">
        <v>8.8909197370807824E-2</v>
      </c>
      <c r="AF95" s="47"/>
      <c r="AG95" s="30" t="s">
        <v>316</v>
      </c>
      <c r="AH95" s="35">
        <v>0.74274245940285677</v>
      </c>
      <c r="AI95" s="30">
        <v>0.80207772296062374</v>
      </c>
      <c r="AJ95" s="30">
        <v>0.95503267551363669</v>
      </c>
      <c r="AK95" s="30">
        <v>1.1471053922966936</v>
      </c>
      <c r="AL95" s="30">
        <v>1.1813851169820864</v>
      </c>
      <c r="AM95" s="30">
        <v>1.3351698514274928</v>
      </c>
      <c r="AN95" s="30" t="e">
        <v>#N/A</v>
      </c>
      <c r="AO95" s="30">
        <v>1.3484413230870338</v>
      </c>
      <c r="AP95" s="30" t="e">
        <v>#N/A</v>
      </c>
      <c r="AQ95" s="30">
        <v>1.2386225266538418</v>
      </c>
      <c r="AR95" s="30" t="e">
        <v>#N/A</v>
      </c>
      <c r="AS95" s="30">
        <v>0.57264957531191119</v>
      </c>
      <c r="AT95" s="36">
        <v>0.3300472170610777</v>
      </c>
    </row>
    <row r="96" spans="2:65" x14ac:dyDescent="0.35">
      <c r="B96" s="48"/>
      <c r="C96" s="40" t="s">
        <v>340</v>
      </c>
      <c r="D96" s="39">
        <v>1.0866275532768728</v>
      </c>
      <c r="E96" s="40">
        <v>1.0866275516549102</v>
      </c>
      <c r="F96" s="40">
        <v>1.0866275030355015</v>
      </c>
      <c r="G96" s="40">
        <v>1.0866257341385632</v>
      </c>
      <c r="H96" s="40">
        <v>1.086560666326162</v>
      </c>
      <c r="I96" s="40">
        <v>1.0841042785058421</v>
      </c>
      <c r="J96" s="40">
        <v>1.0641983878210155</v>
      </c>
      <c r="K96" s="40">
        <v>0.99322248004720104</v>
      </c>
      <c r="L96" s="40">
        <v>0.90239230984030772</v>
      </c>
      <c r="M96" s="40">
        <v>0.63739189743060887</v>
      </c>
      <c r="N96" s="40">
        <v>0.51658169642688101</v>
      </c>
      <c r="O96" s="40">
        <v>0.27637829423468424</v>
      </c>
      <c r="P96" s="41">
        <v>0.2746116424656212</v>
      </c>
      <c r="AF96" s="48"/>
      <c r="AG96" s="40" t="s">
        <v>340</v>
      </c>
      <c r="AH96" s="39">
        <v>1.3382824717980135</v>
      </c>
      <c r="AI96" s="40">
        <v>1.3614365926396883</v>
      </c>
      <c r="AJ96" s="40">
        <v>1.3315668139635259</v>
      </c>
      <c r="AK96" s="40">
        <v>1.5442483376127651</v>
      </c>
      <c r="AL96" s="40">
        <v>1.3490995353821722</v>
      </c>
      <c r="AM96" s="40">
        <v>1.3035713504311348</v>
      </c>
      <c r="AN96" s="40" t="e">
        <v>#N/A</v>
      </c>
      <c r="AO96" s="40">
        <v>1.1631625898993139</v>
      </c>
      <c r="AP96" s="40" t="e">
        <v>#N/A</v>
      </c>
      <c r="AQ96" s="40">
        <v>0.84784070015436719</v>
      </c>
      <c r="AR96" s="40" t="e">
        <v>#N/A</v>
      </c>
      <c r="AS96" s="40">
        <v>0.31093160648221274</v>
      </c>
      <c r="AT96" s="41">
        <v>0.28640024309427609</v>
      </c>
    </row>
    <row r="97" spans="3:33" x14ac:dyDescent="0.35">
      <c r="C97"/>
      <c r="AG97" s="29"/>
    </row>
    <row r="98" spans="3:33" x14ac:dyDescent="0.35">
      <c r="C98"/>
      <c r="AG98" s="29"/>
    </row>
    <row r="99" spans="3:33" x14ac:dyDescent="0.35">
      <c r="C99" s="29"/>
      <c r="AG99" s="29"/>
    </row>
    <row r="100" spans="3:33" x14ac:dyDescent="0.35">
      <c r="C100" s="29"/>
      <c r="AG100" s="29"/>
    </row>
    <row r="101" spans="3:33" x14ac:dyDescent="0.35">
      <c r="C101" s="29"/>
      <c r="AG101" s="29"/>
    </row>
    <row r="105" spans="3:33" x14ac:dyDescent="0.35">
      <c r="C105" s="29"/>
      <c r="AG105" s="29"/>
    </row>
    <row r="106" spans="3:33" x14ac:dyDescent="0.35">
      <c r="AG106" s="29"/>
    </row>
    <row r="107" spans="3:33" x14ac:dyDescent="0.35">
      <c r="C107" s="29"/>
      <c r="AG107" s="29"/>
    </row>
    <row r="108" spans="3:33" x14ac:dyDescent="0.35">
      <c r="AG108" s="29"/>
    </row>
    <row r="109" spans="3:33" x14ac:dyDescent="0.35">
      <c r="C109" s="29"/>
      <c r="AG109" s="29"/>
    </row>
    <row r="110" spans="3:33" x14ac:dyDescent="0.35">
      <c r="AG110" s="29"/>
    </row>
    <row r="111" spans="3:33" x14ac:dyDescent="0.35">
      <c r="C111" s="29"/>
      <c r="AG111" s="29"/>
    </row>
    <row r="112" spans="3:33" x14ac:dyDescent="0.35">
      <c r="C112" s="29"/>
      <c r="AG112" s="29"/>
    </row>
    <row r="113" spans="3:33" x14ac:dyDescent="0.35">
      <c r="C113" s="29"/>
      <c r="AG113" s="29"/>
    </row>
    <row r="114" spans="3:33" x14ac:dyDescent="0.35">
      <c r="C114" s="29"/>
      <c r="AG114" s="29"/>
    </row>
    <row r="115" spans="3:33" x14ac:dyDescent="0.35">
      <c r="C115" s="29"/>
      <c r="AG115" s="29"/>
    </row>
    <row r="116" spans="3:33" x14ac:dyDescent="0.35">
      <c r="C116" s="29"/>
      <c r="AG116" s="29"/>
    </row>
    <row r="117" spans="3:33" x14ac:dyDescent="0.35">
      <c r="C117" s="29"/>
      <c r="AG117" s="29"/>
    </row>
    <row r="120" spans="3:33" x14ac:dyDescent="0.35">
      <c r="C120" s="29"/>
      <c r="AG120" s="29"/>
    </row>
    <row r="121" spans="3:33" x14ac:dyDescent="0.35">
      <c r="C121" s="29"/>
      <c r="AG121" s="29"/>
    </row>
    <row r="122" spans="3:33" x14ac:dyDescent="0.35">
      <c r="C122" s="29"/>
      <c r="AG122" s="29"/>
    </row>
    <row r="123" spans="3:33" x14ac:dyDescent="0.35">
      <c r="C123" s="29"/>
      <c r="AG123" s="29"/>
    </row>
    <row r="124" spans="3:33" x14ac:dyDescent="0.35">
      <c r="C124" s="29"/>
      <c r="AG124" s="29"/>
    </row>
    <row r="125" spans="3:33" x14ac:dyDescent="0.35">
      <c r="C125" s="29"/>
      <c r="AG125" s="29"/>
    </row>
    <row r="126" spans="3:33" x14ac:dyDescent="0.35">
      <c r="C126" s="29"/>
      <c r="AG126" s="29"/>
    </row>
    <row r="127" spans="3:33" x14ac:dyDescent="0.35">
      <c r="C127" s="29"/>
      <c r="AG127" s="29"/>
    </row>
    <row r="128" spans="3:33" x14ac:dyDescent="0.35">
      <c r="C128" s="29"/>
      <c r="AG128" s="29"/>
    </row>
    <row r="129" spans="3:64" x14ac:dyDescent="0.35">
      <c r="C129" s="29"/>
      <c r="AG129" s="29"/>
    </row>
    <row r="130" spans="3:64" x14ac:dyDescent="0.35">
      <c r="C130" s="29"/>
      <c r="AG130" s="29"/>
    </row>
    <row r="131" spans="3:64" x14ac:dyDescent="0.35">
      <c r="C131" s="29"/>
      <c r="AG131" s="29"/>
    </row>
    <row r="132" spans="3:64" x14ac:dyDescent="0.35">
      <c r="C132" s="29"/>
      <c r="AG132" s="29"/>
    </row>
    <row r="134" spans="3:64" x14ac:dyDescent="0.35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V134" s="28"/>
      <c r="AW134" s="28"/>
      <c r="AX134" s="28"/>
    </row>
    <row r="136" spans="3:64" x14ac:dyDescent="0.35">
      <c r="C136" s="29"/>
      <c r="AG136" s="29"/>
    </row>
    <row r="137" spans="3:64" x14ac:dyDescent="0.35">
      <c r="C137" s="29"/>
      <c r="AG137" s="29"/>
    </row>
    <row r="138" spans="3:64" x14ac:dyDescent="0.35">
      <c r="C138" s="29"/>
      <c r="Q138" s="28"/>
      <c r="R138" s="28"/>
      <c r="S138" s="28"/>
      <c r="T138" s="28"/>
      <c r="AG138" s="29"/>
      <c r="BJ138" s="28"/>
      <c r="BK138" s="28"/>
      <c r="BL138" s="28"/>
    </row>
    <row r="139" spans="3:64" x14ac:dyDescent="0.35">
      <c r="C139" s="29"/>
      <c r="AG139" s="29"/>
    </row>
    <row r="140" spans="3:64" x14ac:dyDescent="0.35">
      <c r="C140" s="29"/>
      <c r="AG140" s="29"/>
    </row>
    <row r="141" spans="3:64" x14ac:dyDescent="0.35">
      <c r="C141" s="29"/>
      <c r="AG141" s="29"/>
    </row>
    <row r="142" spans="3:64" x14ac:dyDescent="0.35">
      <c r="C142" s="29"/>
      <c r="AG142" s="29"/>
    </row>
    <row r="143" spans="3:64" x14ac:dyDescent="0.35">
      <c r="C143" s="29"/>
      <c r="AG143" s="29"/>
    </row>
    <row r="144" spans="3:64" x14ac:dyDescent="0.35">
      <c r="C144" s="29"/>
      <c r="AG144" s="29"/>
    </row>
    <row r="145" spans="3:126" x14ac:dyDescent="0.35">
      <c r="C145" s="29"/>
      <c r="AG145" s="29"/>
    </row>
    <row r="146" spans="3:126" x14ac:dyDescent="0.35">
      <c r="C146" s="29"/>
      <c r="AG146" s="29"/>
      <c r="BI146" s="28"/>
    </row>
    <row r="147" spans="3:126" x14ac:dyDescent="0.35">
      <c r="C147" s="29"/>
      <c r="AG147" s="29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</row>
    <row r="148" spans="3:126" x14ac:dyDescent="0.35">
      <c r="C148" s="29"/>
      <c r="AG148" s="29"/>
    </row>
    <row r="151" spans="3:126" x14ac:dyDescent="0.35">
      <c r="C151" s="29"/>
      <c r="AG151" s="29"/>
    </row>
    <row r="152" spans="3:126" x14ac:dyDescent="0.35">
      <c r="C152" s="29"/>
      <c r="AG152" s="29"/>
    </row>
    <row r="153" spans="3:126" x14ac:dyDescent="0.35">
      <c r="C153" s="29"/>
      <c r="AG153" s="29"/>
    </row>
    <row r="154" spans="3:126" x14ac:dyDescent="0.35">
      <c r="C154" s="29"/>
      <c r="AG154" s="29"/>
    </row>
    <row r="155" spans="3:126" x14ac:dyDescent="0.35">
      <c r="C155" s="29"/>
      <c r="AG155" s="29"/>
    </row>
    <row r="156" spans="3:126" x14ac:dyDescent="0.35">
      <c r="C156" s="29"/>
      <c r="AG156" s="29"/>
    </row>
    <row r="157" spans="3:126" x14ac:dyDescent="0.35">
      <c r="C157" s="29"/>
      <c r="AG157" s="29"/>
    </row>
    <row r="158" spans="3:126" x14ac:dyDescent="0.35">
      <c r="C158" s="29"/>
      <c r="AG158" s="29"/>
    </row>
    <row r="159" spans="3:126" x14ac:dyDescent="0.35">
      <c r="C159" s="29"/>
      <c r="AG159" s="29"/>
    </row>
    <row r="160" spans="3:126" x14ac:dyDescent="0.35">
      <c r="C160" s="29"/>
      <c r="AG160" s="29"/>
    </row>
    <row r="161" spans="3:111" x14ac:dyDescent="0.35">
      <c r="C161" s="29"/>
      <c r="AG161" s="29"/>
      <c r="AT161" s="28"/>
      <c r="BI161" s="29"/>
      <c r="BW161" s="29"/>
      <c r="BX161" s="29"/>
      <c r="BY161" s="28"/>
      <c r="BZ161" s="28"/>
      <c r="CA161" s="28"/>
      <c r="CB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</row>
    <row r="162" spans="3:111" x14ac:dyDescent="0.35">
      <c r="C162" s="29"/>
      <c r="AG162" s="29"/>
      <c r="AT162" s="28"/>
    </row>
    <row r="163" spans="3:111" x14ac:dyDescent="0.35">
      <c r="C163" s="29"/>
      <c r="AG163" s="29"/>
    </row>
    <row r="165" spans="3:111" x14ac:dyDescent="0.35"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AH165" s="28"/>
      <c r="AI165" s="28"/>
      <c r="AJ165" s="28"/>
      <c r="AV165" s="28"/>
      <c r="AW165" s="28"/>
      <c r="AX165" s="28"/>
    </row>
    <row r="167" spans="3:111" x14ac:dyDescent="0.35">
      <c r="C167" s="29"/>
      <c r="AG167" s="29"/>
    </row>
    <row r="168" spans="3:111" x14ac:dyDescent="0.35">
      <c r="C168" s="29"/>
      <c r="AG168" s="29"/>
    </row>
    <row r="169" spans="3:111" x14ac:dyDescent="0.35">
      <c r="C169" s="29"/>
      <c r="Q169" s="28"/>
      <c r="R169" s="28"/>
      <c r="S169" s="28"/>
      <c r="T169" s="28"/>
      <c r="AG169" s="29"/>
      <c r="BJ169" s="28"/>
      <c r="BK169" s="28"/>
      <c r="BL169" s="28"/>
    </row>
    <row r="170" spans="3:111" x14ac:dyDescent="0.35">
      <c r="C170" s="29"/>
      <c r="AG170" s="29"/>
    </row>
    <row r="171" spans="3:111" x14ac:dyDescent="0.35">
      <c r="C171" s="29"/>
      <c r="AG171" s="29"/>
    </row>
    <row r="172" spans="3:111" x14ac:dyDescent="0.35">
      <c r="C172" s="29"/>
      <c r="AG172" s="29"/>
    </row>
    <row r="173" spans="3:111" x14ac:dyDescent="0.35">
      <c r="C173" s="29"/>
      <c r="AG173" s="29"/>
    </row>
    <row r="174" spans="3:111" x14ac:dyDescent="0.35">
      <c r="C174" s="29"/>
      <c r="AG174" s="29"/>
    </row>
    <row r="175" spans="3:111" x14ac:dyDescent="0.35">
      <c r="C175" s="29"/>
      <c r="AG175" s="29"/>
    </row>
    <row r="176" spans="3:111" x14ac:dyDescent="0.35">
      <c r="C176" s="29"/>
      <c r="AG176" s="29"/>
    </row>
    <row r="177" spans="3:64" x14ac:dyDescent="0.35">
      <c r="C177" s="29"/>
      <c r="AG177" s="29"/>
    </row>
    <row r="178" spans="3:64" x14ac:dyDescent="0.35">
      <c r="C178" s="29"/>
      <c r="AG178" s="29"/>
    </row>
    <row r="179" spans="3:64" x14ac:dyDescent="0.35">
      <c r="C179" s="29"/>
      <c r="AG179" s="29"/>
    </row>
    <row r="180" spans="3:64" x14ac:dyDescent="0.35"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V180" s="28"/>
      <c r="AW180" s="28"/>
      <c r="AX180" s="28"/>
    </row>
    <row r="182" spans="3:64" x14ac:dyDescent="0.35">
      <c r="C182" s="29"/>
      <c r="AG182" s="29"/>
    </row>
    <row r="183" spans="3:64" x14ac:dyDescent="0.35">
      <c r="C183" s="29"/>
      <c r="AG183" s="29"/>
    </row>
    <row r="184" spans="3:64" x14ac:dyDescent="0.35">
      <c r="C184" s="29"/>
      <c r="Q184" s="28"/>
      <c r="R184" s="28"/>
      <c r="S184" s="28"/>
      <c r="T184" s="28"/>
      <c r="AG184" s="29"/>
      <c r="AU184" s="28"/>
      <c r="BJ184" s="28"/>
      <c r="BK184" s="28"/>
      <c r="BL184" s="28"/>
    </row>
    <row r="185" spans="3:64" x14ac:dyDescent="0.35">
      <c r="C185" s="29"/>
      <c r="AG185" s="29"/>
    </row>
    <row r="186" spans="3:64" x14ac:dyDescent="0.35">
      <c r="C186" s="29"/>
      <c r="AG186" s="29"/>
    </row>
    <row r="187" spans="3:64" x14ac:dyDescent="0.35">
      <c r="C187" s="29"/>
      <c r="AG187" s="29"/>
    </row>
    <row r="188" spans="3:64" x14ac:dyDescent="0.35">
      <c r="C188" s="29"/>
      <c r="AG188" s="29"/>
    </row>
    <row r="189" spans="3:64" x14ac:dyDescent="0.35">
      <c r="C189" s="29"/>
      <c r="AG189" s="29"/>
    </row>
    <row r="190" spans="3:64" x14ac:dyDescent="0.35">
      <c r="C190" s="29"/>
      <c r="AG190" s="29"/>
    </row>
    <row r="191" spans="3:64" x14ac:dyDescent="0.35">
      <c r="C191" s="29"/>
      <c r="AG191" s="29"/>
    </row>
    <row r="192" spans="3:64" x14ac:dyDescent="0.35">
      <c r="C192" s="29"/>
      <c r="AG192" s="29"/>
    </row>
    <row r="193" spans="3:33" x14ac:dyDescent="0.35">
      <c r="C193" s="29"/>
      <c r="AG193" s="29"/>
    </row>
    <row r="194" spans="3:33" x14ac:dyDescent="0.35">
      <c r="C194" s="29"/>
      <c r="AG194" s="29"/>
    </row>
    <row r="357" spans="1:74" s="28" customFormat="1" x14ac:dyDescent="0.35">
      <c r="A357"/>
      <c r="B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</row>
    <row r="358" spans="1:74" s="28" customFormat="1" x14ac:dyDescent="0.35">
      <c r="A358"/>
      <c r="B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</row>
    <row r="359" spans="1:74" s="28" customFormat="1" x14ac:dyDescent="0.35">
      <c r="A359"/>
      <c r="B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</row>
    <row r="360" spans="1:74" s="28" customFormat="1" x14ac:dyDescent="0.35">
      <c r="A360"/>
      <c r="B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</row>
    <row r="361" spans="1:74" s="28" customFormat="1" x14ac:dyDescent="0.35">
      <c r="A361"/>
      <c r="B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</row>
    <row r="362" spans="1:74" s="28" customFormat="1" x14ac:dyDescent="0.35">
      <c r="A362"/>
      <c r="B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</row>
    <row r="363" spans="1:74" s="28" customFormat="1" x14ac:dyDescent="0.35">
      <c r="A363"/>
      <c r="B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</row>
    <row r="364" spans="1:74" s="28" customFormat="1" x14ac:dyDescent="0.35">
      <c r="A364"/>
      <c r="B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</row>
    <row r="365" spans="1:74" s="28" customFormat="1" x14ac:dyDescent="0.35">
      <c r="A365"/>
      <c r="B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</row>
    <row r="366" spans="1:74" s="28" customFormat="1" x14ac:dyDescent="0.35">
      <c r="A366"/>
      <c r="B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</row>
    <row r="367" spans="1:74" s="28" customFormat="1" x14ac:dyDescent="0.35">
      <c r="A367"/>
      <c r="B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</row>
    <row r="368" spans="1:74" s="28" customFormat="1" x14ac:dyDescent="0.35">
      <c r="A368"/>
      <c r="B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</row>
    <row r="369" spans="1:74" s="28" customFormat="1" x14ac:dyDescent="0.35">
      <c r="A369"/>
      <c r="B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</row>
    <row r="370" spans="1:74" s="28" customFormat="1" x14ac:dyDescent="0.35">
      <c r="A370"/>
      <c r="B370" s="29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 s="29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</row>
    <row r="371" spans="1:74" s="28" customFormat="1" x14ac:dyDescent="0.35">
      <c r="A371"/>
      <c r="B371" s="29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 s="29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</row>
    <row r="372" spans="1:74" s="28" customFormat="1" x14ac:dyDescent="0.35">
      <c r="A372"/>
      <c r="B372" s="29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 s="29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</row>
    <row r="373" spans="1:74" x14ac:dyDescent="0.35">
      <c r="B373" s="29"/>
      <c r="AF373" s="29"/>
    </row>
    <row r="374" spans="1:74" x14ac:dyDescent="0.35">
      <c r="A374" s="29"/>
      <c r="B374" s="29"/>
      <c r="AF374" s="29"/>
    </row>
    <row r="375" spans="1:74" x14ac:dyDescent="0.35">
      <c r="A375" s="29"/>
      <c r="B375" s="29"/>
      <c r="AF375" s="29"/>
    </row>
    <row r="376" spans="1:74" x14ac:dyDescent="0.35">
      <c r="A376" s="29"/>
      <c r="B376" s="29"/>
      <c r="AF376" s="29"/>
    </row>
    <row r="377" spans="1:74" x14ac:dyDescent="0.35">
      <c r="A377" s="29"/>
      <c r="B377" s="29"/>
      <c r="AF377" s="29"/>
    </row>
    <row r="378" spans="1:74" x14ac:dyDescent="0.35">
      <c r="A378" s="29"/>
      <c r="B378" s="29"/>
      <c r="AF378" s="29"/>
    </row>
    <row r="379" spans="1:74" x14ac:dyDescent="0.35">
      <c r="A379" s="29"/>
      <c r="B379" s="29"/>
      <c r="C379" s="29"/>
      <c r="AF379" s="29"/>
      <c r="AG379" s="29"/>
    </row>
    <row r="380" spans="1:74" x14ac:dyDescent="0.35">
      <c r="A380" s="29"/>
      <c r="B380" s="29"/>
      <c r="C380" s="29"/>
      <c r="AF380" s="29"/>
      <c r="AG380" s="29"/>
    </row>
    <row r="381" spans="1:74" x14ac:dyDescent="0.35">
      <c r="A381" s="29"/>
      <c r="B381" s="29"/>
      <c r="C381" s="29"/>
      <c r="AF381" s="29"/>
      <c r="AG381" s="29"/>
    </row>
    <row r="382" spans="1:74" x14ac:dyDescent="0.35">
      <c r="A382" s="29"/>
      <c r="B382" s="29"/>
      <c r="C382" s="29"/>
      <c r="AF382" s="29"/>
      <c r="AG382" s="29"/>
    </row>
    <row r="383" spans="1:74" x14ac:dyDescent="0.35">
      <c r="A383" s="29"/>
      <c r="B383" s="29"/>
      <c r="C383" s="29"/>
      <c r="AF383" s="29"/>
      <c r="AG383" s="29"/>
    </row>
    <row r="384" spans="1:74" x14ac:dyDescent="0.35">
      <c r="A384" s="29"/>
      <c r="B384" s="29"/>
      <c r="C384" s="29"/>
      <c r="AF384" s="29"/>
      <c r="AG384" s="29"/>
    </row>
    <row r="385" spans="1:33" x14ac:dyDescent="0.35">
      <c r="A385" s="29"/>
      <c r="B385" s="29"/>
      <c r="C385" s="29"/>
      <c r="AF385" s="29"/>
      <c r="AG385" s="29"/>
    </row>
    <row r="386" spans="1:33" x14ac:dyDescent="0.35">
      <c r="A386" s="29"/>
      <c r="B386" s="29"/>
      <c r="C386" s="29"/>
      <c r="AF386" s="29"/>
      <c r="AG386" s="29"/>
    </row>
    <row r="387" spans="1:33" x14ac:dyDescent="0.35">
      <c r="A387" s="29"/>
      <c r="B387" s="29"/>
      <c r="C387" s="29"/>
      <c r="AF387" s="29"/>
      <c r="AG387" s="29"/>
    </row>
    <row r="388" spans="1:33" x14ac:dyDescent="0.35">
      <c r="A388" s="29"/>
      <c r="B388" s="29"/>
      <c r="C388" s="29"/>
      <c r="AF388" s="29"/>
      <c r="AG388" s="29"/>
    </row>
    <row r="389" spans="1:33" x14ac:dyDescent="0.35">
      <c r="A389" s="29"/>
      <c r="C389" s="29"/>
      <c r="AG389" s="29"/>
    </row>
    <row r="390" spans="1:33" x14ac:dyDescent="0.35">
      <c r="A390" s="29"/>
      <c r="C390" s="29"/>
      <c r="AG390" s="29"/>
    </row>
    <row r="391" spans="1:33" x14ac:dyDescent="0.35">
      <c r="A391" s="29"/>
      <c r="C391" s="29"/>
      <c r="AG391" s="29"/>
    </row>
    <row r="392" spans="1:33" x14ac:dyDescent="0.35">
      <c r="A392" s="29"/>
      <c r="C392" s="29"/>
      <c r="AG392" s="29"/>
    </row>
    <row r="393" spans="1:33" x14ac:dyDescent="0.35">
      <c r="C393" s="29"/>
      <c r="AG393" s="29"/>
    </row>
    <row r="394" spans="1:33" x14ac:dyDescent="0.35">
      <c r="C394" s="29"/>
      <c r="AG394" s="29"/>
    </row>
    <row r="395" spans="1:33" x14ac:dyDescent="0.35">
      <c r="C395" s="29"/>
      <c r="AG395" s="29"/>
    </row>
    <row r="396" spans="1:33" x14ac:dyDescent="0.35">
      <c r="C396" s="29"/>
      <c r="AG396" s="29"/>
    </row>
    <row r="397" spans="1:33" x14ac:dyDescent="0.35">
      <c r="C397" s="29"/>
      <c r="AG397" s="29"/>
    </row>
    <row r="405" spans="1:74" s="29" customFormat="1" x14ac:dyDescent="0.35">
      <c r="A405"/>
      <c r="B405"/>
      <c r="C405" s="28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 s="28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</row>
    <row r="406" spans="1:74" s="29" customFormat="1" x14ac:dyDescent="0.35">
      <c r="A406"/>
      <c r="B406"/>
      <c r="C406" s="28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 s="28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</row>
    <row r="407" spans="1:74" s="29" customFormat="1" x14ac:dyDescent="0.35">
      <c r="A407"/>
      <c r="B407"/>
      <c r="C407" s="28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 s="28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</row>
    <row r="408" spans="1:74" s="29" customFormat="1" x14ac:dyDescent="0.35">
      <c r="A408"/>
      <c r="B408"/>
      <c r="C408" s="2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 s="2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</row>
    <row r="409" spans="1:74" s="29" customFormat="1" x14ac:dyDescent="0.35">
      <c r="A409"/>
      <c r="B409"/>
      <c r="C409" s="28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 s="28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</row>
    <row r="410" spans="1:74" s="29" customFormat="1" x14ac:dyDescent="0.35">
      <c r="A410"/>
      <c r="B410"/>
      <c r="C410" s="28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 s="28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</row>
    <row r="411" spans="1:74" s="29" customFormat="1" x14ac:dyDescent="0.35">
      <c r="A411"/>
      <c r="B411"/>
      <c r="C411" s="28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 s="28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</row>
  </sheetData>
  <mergeCells count="15">
    <mergeCell ref="B21:B34"/>
    <mergeCell ref="AF21:AF34"/>
    <mergeCell ref="B3:AC3"/>
    <mergeCell ref="AF3:BG3"/>
    <mergeCell ref="BI3:BU3"/>
    <mergeCell ref="B7:B20"/>
    <mergeCell ref="AF7:AF20"/>
    <mergeCell ref="B83:B96"/>
    <mergeCell ref="AF83:AF96"/>
    <mergeCell ref="B38:B51"/>
    <mergeCell ref="AF38:AF51"/>
    <mergeCell ref="B52:B65"/>
    <mergeCell ref="AF52:AF65"/>
    <mergeCell ref="B69:B82"/>
    <mergeCell ref="AF69:AF8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V411"/>
  <sheetViews>
    <sheetView tabSelected="1" zoomScale="20" zoomScaleNormal="20" workbookViewId="0">
      <selection activeCell="CM86" sqref="CM86"/>
    </sheetView>
  </sheetViews>
  <sheetFormatPr baseColWidth="10" defaultRowHeight="14.5" x14ac:dyDescent="0.35"/>
  <cols>
    <col min="3" max="3" width="22" style="28" bestFit="1" customWidth="1"/>
    <col min="33" max="33" width="22" style="28" bestFit="1" customWidth="1"/>
  </cols>
  <sheetData>
    <row r="3" spans="2:73" ht="18.5" x14ac:dyDescent="0.45">
      <c r="B3" s="49" t="s">
        <v>850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F3" s="50" t="s">
        <v>851</v>
      </c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I3" s="51" t="s">
        <v>852</v>
      </c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</row>
    <row r="5" spans="2:73" x14ac:dyDescent="0.35">
      <c r="W5" s="29"/>
      <c r="BA5" s="29"/>
      <c r="BO5" s="29"/>
    </row>
    <row r="6" spans="2:73" x14ac:dyDescent="0.35">
      <c r="B6" s="30"/>
      <c r="C6" s="30"/>
      <c r="D6" s="31">
        <v>2000</v>
      </c>
      <c r="E6" s="32">
        <v>1500</v>
      </c>
      <c r="F6" s="32">
        <v>1250</v>
      </c>
      <c r="G6" s="32">
        <v>1000</v>
      </c>
      <c r="H6" s="32">
        <v>750</v>
      </c>
      <c r="I6" s="32">
        <v>500</v>
      </c>
      <c r="J6" s="32">
        <v>350</v>
      </c>
      <c r="K6" s="32">
        <v>250</v>
      </c>
      <c r="L6" s="32">
        <v>200</v>
      </c>
      <c r="M6" s="32">
        <v>125</v>
      </c>
      <c r="N6" s="32">
        <v>100</v>
      </c>
      <c r="O6" s="32">
        <v>50</v>
      </c>
      <c r="P6" s="33">
        <v>1.0000800000000001E-2</v>
      </c>
      <c r="AF6" s="30"/>
      <c r="AG6" s="30"/>
      <c r="AH6" s="31">
        <v>2000</v>
      </c>
      <c r="AI6" s="32">
        <v>1500</v>
      </c>
      <c r="AJ6" s="32">
        <v>1250</v>
      </c>
      <c r="AK6" s="32">
        <v>1000</v>
      </c>
      <c r="AL6" s="32">
        <v>750</v>
      </c>
      <c r="AM6" s="32">
        <v>500</v>
      </c>
      <c r="AN6" s="32">
        <v>350</v>
      </c>
      <c r="AO6" s="32">
        <v>250</v>
      </c>
      <c r="AP6" s="32">
        <v>200</v>
      </c>
      <c r="AQ6" s="32">
        <v>125</v>
      </c>
      <c r="AR6" s="32">
        <v>100</v>
      </c>
      <c r="AS6" s="32">
        <v>50</v>
      </c>
      <c r="AT6" s="33">
        <v>1.0000800000000001E-2</v>
      </c>
    </row>
    <row r="7" spans="2:73" ht="15" customHeight="1" x14ac:dyDescent="0.35">
      <c r="B7" s="46" t="s">
        <v>853</v>
      </c>
      <c r="C7" s="34" t="s">
        <v>854</v>
      </c>
      <c r="D7" s="35">
        <v>63.760930237829982</v>
      </c>
      <c r="E7" s="30">
        <v>63.760352833630826</v>
      </c>
      <c r="F7" s="30">
        <v>63.756799785440919</v>
      </c>
      <c r="G7" s="30">
        <v>63.731501105140616</v>
      </c>
      <c r="H7" s="30">
        <v>63.548858933756811</v>
      </c>
      <c r="I7" s="30">
        <v>62.213809633269548</v>
      </c>
      <c r="J7" s="30">
        <v>58.674878207736697</v>
      </c>
      <c r="K7" s="30">
        <v>52.634719183406631</v>
      </c>
      <c r="L7" s="30">
        <v>47.413708652508888</v>
      </c>
      <c r="M7" s="30">
        <v>35.078169912255348</v>
      </c>
      <c r="N7" s="30">
        <v>29.403819378378909</v>
      </c>
      <c r="O7" s="30">
        <v>15.467439794650115</v>
      </c>
      <c r="P7" s="36">
        <v>-1.0278063558887274</v>
      </c>
      <c r="AF7" s="46" t="s">
        <v>855</v>
      </c>
      <c r="AG7" s="34" t="s">
        <v>854</v>
      </c>
      <c r="AH7" s="35">
        <v>43.572015227672736</v>
      </c>
      <c r="AI7" s="30">
        <v>54.050554711443603</v>
      </c>
      <c r="AJ7" s="30">
        <v>61.774244544430417</v>
      </c>
      <c r="AK7" s="30">
        <v>67.880668558219909</v>
      </c>
      <c r="AL7" s="30">
        <v>70.865651736940848</v>
      </c>
      <c r="AM7" s="30">
        <v>67.832677420166561</v>
      </c>
      <c r="AN7" s="30">
        <v>61.245733237133287</v>
      </c>
      <c r="AO7" s="30" t="e">
        <v>#N/A</v>
      </c>
      <c r="AP7" s="30">
        <v>47.114246728055733</v>
      </c>
      <c r="AQ7" s="30" t="e">
        <v>#N/A</v>
      </c>
      <c r="AR7" s="30">
        <v>28.315675799007305</v>
      </c>
      <c r="AS7" s="30">
        <v>14.907661426134414</v>
      </c>
      <c r="AT7" s="36">
        <v>0</v>
      </c>
    </row>
    <row r="8" spans="2:73" x14ac:dyDescent="0.35">
      <c r="B8" s="47"/>
      <c r="C8" s="37" t="s">
        <v>856</v>
      </c>
      <c r="D8" s="35">
        <v>60.138928958128069</v>
      </c>
      <c r="E8" s="30">
        <v>60.13884708672007</v>
      </c>
      <c r="F8" s="30">
        <v>60.138131801334389</v>
      </c>
      <c r="G8" s="30">
        <v>60.131142899737625</v>
      </c>
      <c r="H8" s="30">
        <v>60.061624754082366</v>
      </c>
      <c r="I8" s="30">
        <v>59.352584754737613</v>
      </c>
      <c r="J8" s="30">
        <v>56.945538512621404</v>
      </c>
      <c r="K8" s="30">
        <v>52.066467815800927</v>
      </c>
      <c r="L8" s="30">
        <v>47.419085840206463</v>
      </c>
      <c r="M8" s="30">
        <v>35.647209455350072</v>
      </c>
      <c r="N8" s="30">
        <v>30.047002469076013</v>
      </c>
      <c r="O8" s="30">
        <v>16.135521046169178</v>
      </c>
      <c r="P8" s="36">
        <v>-0.38179182814168205</v>
      </c>
      <c r="AF8" s="47"/>
      <c r="AG8" s="37" t="s">
        <v>856</v>
      </c>
      <c r="AH8" s="35">
        <v>26.275294694447354</v>
      </c>
      <c r="AI8" s="30">
        <v>39.521786376058266</v>
      </c>
      <c r="AJ8" s="30">
        <v>46.771119746150234</v>
      </c>
      <c r="AK8" s="30">
        <v>51.14308557397748</v>
      </c>
      <c r="AL8" s="30">
        <v>53.493391619403837</v>
      </c>
      <c r="AM8" s="30">
        <v>53.403404884806143</v>
      </c>
      <c r="AN8" s="30">
        <v>50.692132105116009</v>
      </c>
      <c r="AO8" s="30" t="e">
        <v>#N/A</v>
      </c>
      <c r="AP8" s="30">
        <v>42.280686367768475</v>
      </c>
      <c r="AQ8" s="30" t="e">
        <v>#N/A</v>
      </c>
      <c r="AR8" s="30">
        <v>27.717289071994266</v>
      </c>
      <c r="AS8" s="30">
        <v>15.173968813632117</v>
      </c>
      <c r="AT8" s="36">
        <v>0</v>
      </c>
    </row>
    <row r="9" spans="2:73" x14ac:dyDescent="0.35">
      <c r="B9" s="47"/>
      <c r="C9" s="37" t="s">
        <v>857</v>
      </c>
      <c r="D9" s="35">
        <v>53.33250829248837</v>
      </c>
      <c r="E9" s="30">
        <v>53.332503296452131</v>
      </c>
      <c r="F9" s="30">
        <v>53.332431876346618</v>
      </c>
      <c r="G9" s="30">
        <v>53.331339565334382</v>
      </c>
      <c r="H9" s="30">
        <v>53.314439603655977</v>
      </c>
      <c r="I9" s="30">
        <v>53.044764235938203</v>
      </c>
      <c r="J9" s="30">
        <v>51.781503032363503</v>
      </c>
      <c r="K9" s="30">
        <v>48.553575375610045</v>
      </c>
      <c r="L9" s="30">
        <v>45.012480242431167</v>
      </c>
      <c r="M9" s="30">
        <v>34.868655156683367</v>
      </c>
      <c r="N9" s="30">
        <v>29.6649353486537</v>
      </c>
      <c r="O9" s="30">
        <v>16.146960388420524</v>
      </c>
      <c r="P9" s="36">
        <v>-0.43047121780678493</v>
      </c>
      <c r="AF9" s="47"/>
      <c r="AG9" s="37" t="s">
        <v>857</v>
      </c>
      <c r="AH9" s="35">
        <v>33.659670000000006</v>
      </c>
      <c r="AI9" s="30">
        <v>43.328440000000001</v>
      </c>
      <c r="AJ9" s="30">
        <v>49.275325000000002</v>
      </c>
      <c r="AK9" s="30">
        <v>52.826734999999999</v>
      </c>
      <c r="AL9" s="30">
        <v>53.993299999999998</v>
      </c>
      <c r="AM9" s="30">
        <v>53.403480000000002</v>
      </c>
      <c r="AN9" s="30">
        <v>51.896530000000006</v>
      </c>
      <c r="AO9" s="30" t="e">
        <v>#N/A</v>
      </c>
      <c r="AP9" s="30">
        <v>44.800260000000009</v>
      </c>
      <c r="AQ9" s="30" t="e">
        <v>#N/A</v>
      </c>
      <c r="AR9" s="30">
        <v>28.563965</v>
      </c>
      <c r="AS9" s="30">
        <v>15.166404999999999</v>
      </c>
      <c r="AT9" s="36">
        <v>0</v>
      </c>
    </row>
    <row r="10" spans="2:73" x14ac:dyDescent="0.35">
      <c r="B10" s="47"/>
      <c r="C10" s="37" t="s">
        <v>858</v>
      </c>
      <c r="D10" s="35">
        <v>87.69297210372909</v>
      </c>
      <c r="E10" s="30">
        <v>87.689634092209744</v>
      </c>
      <c r="F10" s="30">
        <v>87.673591698189526</v>
      </c>
      <c r="G10" s="30">
        <v>87.580491061052982</v>
      </c>
      <c r="H10" s="30">
        <v>87.02558328405344</v>
      </c>
      <c r="I10" s="30">
        <v>83.664323444240452</v>
      </c>
      <c r="J10" s="30">
        <v>76.018129735167008</v>
      </c>
      <c r="K10" s="30">
        <v>64.689959581604043</v>
      </c>
      <c r="L10" s="30">
        <v>56.01565418911099</v>
      </c>
      <c r="M10" s="30">
        <v>38.402465032648706</v>
      </c>
      <c r="N10" s="30">
        <v>31.310683477262625</v>
      </c>
      <c r="O10" s="30">
        <v>15.635775820675903</v>
      </c>
      <c r="P10" s="36">
        <v>-1.2443149599283307</v>
      </c>
      <c r="AF10" s="47"/>
      <c r="AG10" s="37" t="s">
        <v>858</v>
      </c>
      <c r="AH10" s="35">
        <v>53.483053032734517</v>
      </c>
      <c r="AI10" s="30">
        <v>64.417796706060898</v>
      </c>
      <c r="AJ10" s="30">
        <v>70.117160284794807</v>
      </c>
      <c r="AK10" s="30">
        <v>73.253160874727371</v>
      </c>
      <c r="AL10" s="30">
        <v>74.719449442425812</v>
      </c>
      <c r="AM10" s="30">
        <v>72.908737367215622</v>
      </c>
      <c r="AN10" s="30">
        <v>66.875825458835664</v>
      </c>
      <c r="AO10" s="30" t="e">
        <v>#N/A</v>
      </c>
      <c r="AP10" s="30">
        <v>50.557094193285614</v>
      </c>
      <c r="AQ10" s="30" t="e">
        <v>#N/A</v>
      </c>
      <c r="AR10" s="30">
        <v>28.936801786625377</v>
      </c>
      <c r="AS10" s="30">
        <v>15.105551930419738</v>
      </c>
      <c r="AT10" s="36">
        <v>0</v>
      </c>
    </row>
    <row r="11" spans="2:73" x14ac:dyDescent="0.35">
      <c r="B11" s="47"/>
      <c r="C11" s="37" t="s">
        <v>859</v>
      </c>
      <c r="D11" s="35">
        <v>35.085800210792065</v>
      </c>
      <c r="E11" s="30">
        <v>35.08580007012533</v>
      </c>
      <c r="F11" s="30">
        <v>35.085796692375212</v>
      </c>
      <c r="G11" s="30">
        <v>35.085712278326483</v>
      </c>
      <c r="H11" s="30">
        <v>35.083595500850436</v>
      </c>
      <c r="I11" s="30">
        <v>35.029649833401272</v>
      </c>
      <c r="J11" s="30">
        <v>34.684472521414932</v>
      </c>
      <c r="K11" s="30">
        <v>33.5674831529833</v>
      </c>
      <c r="L11" s="30">
        <v>32.115207004706349</v>
      </c>
      <c r="M11" s="30">
        <v>26.965150223153294</v>
      </c>
      <c r="N11" s="30">
        <v>23.797442461803023</v>
      </c>
      <c r="O11" s="30">
        <v>13.999318786612628</v>
      </c>
      <c r="P11" s="36">
        <v>-0.27272233317121353</v>
      </c>
      <c r="AF11" s="47"/>
      <c r="AG11" s="37" t="s">
        <v>859</v>
      </c>
      <c r="AH11" s="35">
        <v>25.819029999999998</v>
      </c>
      <c r="AI11" s="30">
        <v>30.853603333333332</v>
      </c>
      <c r="AJ11" s="30">
        <v>34.031530000000004</v>
      </c>
      <c r="AK11" s="30">
        <v>37.097183333333334</v>
      </c>
      <c r="AL11" s="30">
        <v>38.851973333333333</v>
      </c>
      <c r="AM11" s="30">
        <v>39.240366666666667</v>
      </c>
      <c r="AN11" s="30">
        <v>38.286943333333333</v>
      </c>
      <c r="AO11" s="30" t="e">
        <v>#N/A</v>
      </c>
      <c r="AP11" s="30">
        <v>34.31941333333333</v>
      </c>
      <c r="AQ11" s="30" t="e">
        <v>#N/A</v>
      </c>
      <c r="AR11" s="30">
        <v>24.897273333333338</v>
      </c>
      <c r="AS11" s="30">
        <v>14.156396666666668</v>
      </c>
      <c r="AT11" s="36">
        <v>0</v>
      </c>
    </row>
    <row r="12" spans="2:73" x14ac:dyDescent="0.35">
      <c r="B12" s="47"/>
      <c r="C12" s="37" t="s">
        <v>860</v>
      </c>
      <c r="D12" s="35">
        <v>93.275914768566807</v>
      </c>
      <c r="E12" s="30">
        <v>93.272168221044808</v>
      </c>
      <c r="F12" s="30">
        <v>93.253273658722833</v>
      </c>
      <c r="G12" s="30">
        <v>93.140658312567439</v>
      </c>
      <c r="H12" s="30">
        <v>92.464899236433993</v>
      </c>
      <c r="I12" s="30">
        <v>88.452409025166048</v>
      </c>
      <c r="J12" s="30">
        <v>79.643107822575701</v>
      </c>
      <c r="K12" s="30">
        <v>67.069148909820925</v>
      </c>
      <c r="L12" s="30">
        <v>57.701702525800705</v>
      </c>
      <c r="M12" s="30">
        <v>39.15380423139397</v>
      </c>
      <c r="N12" s="30">
        <v>31.814438606387764</v>
      </c>
      <c r="O12" s="30">
        <v>15.759570776395783</v>
      </c>
      <c r="P12" s="36">
        <v>-1.391889044971123</v>
      </c>
      <c r="AF12" s="47"/>
      <c r="AG12" s="37" t="s">
        <v>860</v>
      </c>
      <c r="AH12" s="35">
        <v>65.055353333333343</v>
      </c>
      <c r="AI12" s="30">
        <v>82.64246</v>
      </c>
      <c r="AJ12" s="30">
        <v>91.239429999999984</v>
      </c>
      <c r="AK12" s="30">
        <v>96.14527333333335</v>
      </c>
      <c r="AL12" s="30">
        <v>98.970520000000008</v>
      </c>
      <c r="AM12" s="30">
        <v>93.079736666666648</v>
      </c>
      <c r="AN12" s="30">
        <v>80.219793333333328</v>
      </c>
      <c r="AO12" s="30" t="e">
        <v>#N/A</v>
      </c>
      <c r="AP12" s="30">
        <v>55.811026666666663</v>
      </c>
      <c r="AQ12" s="30" t="e">
        <v>#N/A</v>
      </c>
      <c r="AR12" s="30">
        <v>30.380219999999998</v>
      </c>
      <c r="AS12" s="30">
        <v>15.61556</v>
      </c>
      <c r="AT12" s="36">
        <v>0</v>
      </c>
    </row>
    <row r="13" spans="2:73" x14ac:dyDescent="0.35">
      <c r="B13" s="47"/>
      <c r="C13" s="37" t="s">
        <v>861</v>
      </c>
      <c r="D13" s="35">
        <v>28.647657358727045</v>
      </c>
      <c r="E13" s="30">
        <v>28.647657358708859</v>
      </c>
      <c r="F13" s="30">
        <v>28.647657356835019</v>
      </c>
      <c r="G13" s="30">
        <v>28.647657160653431</v>
      </c>
      <c r="H13" s="30">
        <v>28.64763622315461</v>
      </c>
      <c r="I13" s="30">
        <v>28.645275935476757</v>
      </c>
      <c r="J13" s="30">
        <v>28.604593297557919</v>
      </c>
      <c r="K13" s="30">
        <v>28.338496294972586</v>
      </c>
      <c r="L13" s="30">
        <v>27.809846359549191</v>
      </c>
      <c r="M13" s="30">
        <v>24.943722945813096</v>
      </c>
      <c r="N13" s="30">
        <v>22.666836415218583</v>
      </c>
      <c r="O13" s="30">
        <v>14.179441841482578</v>
      </c>
      <c r="P13" s="36">
        <v>-3.4984444570872408E-2</v>
      </c>
      <c r="AF13" s="47"/>
      <c r="AG13" s="37" t="s">
        <v>861</v>
      </c>
      <c r="AH13" s="35">
        <v>18.77495</v>
      </c>
      <c r="AI13" s="30">
        <v>23.098796666666665</v>
      </c>
      <c r="AJ13" s="30">
        <v>25.102136666666667</v>
      </c>
      <c r="AK13" s="30">
        <v>27.224740000000001</v>
      </c>
      <c r="AL13" s="30">
        <v>29.020803333333333</v>
      </c>
      <c r="AM13" s="30">
        <v>30.25315333333333</v>
      </c>
      <c r="AN13" s="30">
        <v>29.88703666666667</v>
      </c>
      <c r="AO13" s="30" t="e">
        <v>#N/A</v>
      </c>
      <c r="AP13" s="30">
        <v>27.8062</v>
      </c>
      <c r="AQ13" s="30" t="e">
        <v>#N/A</v>
      </c>
      <c r="AR13" s="30">
        <v>22.543226666666666</v>
      </c>
      <c r="AS13" s="30">
        <v>13.939333333333334</v>
      </c>
      <c r="AT13" s="36">
        <v>0</v>
      </c>
    </row>
    <row r="14" spans="2:73" x14ac:dyDescent="0.35">
      <c r="B14" s="47"/>
      <c r="C14" s="37" t="s">
        <v>862</v>
      </c>
      <c r="D14" s="35">
        <v>85.935892352112816</v>
      </c>
      <c r="E14" s="30">
        <v>85.932451749380405</v>
      </c>
      <c r="F14" s="30">
        <v>85.915262006916237</v>
      </c>
      <c r="G14" s="30">
        <v>85.813857628911293</v>
      </c>
      <c r="H14" s="30">
        <v>85.210939234829127</v>
      </c>
      <c r="I14" s="30">
        <v>81.645493724634008</v>
      </c>
      <c r="J14" s="30">
        <v>73.789426717668547</v>
      </c>
      <c r="K14" s="30">
        <v>62.483935369446741</v>
      </c>
      <c r="L14" s="30">
        <v>53.994618936702878</v>
      </c>
      <c r="M14" s="30">
        <v>37.04134518502957</v>
      </c>
      <c r="N14" s="30">
        <v>30.289532197102591</v>
      </c>
      <c r="O14" s="30">
        <v>15.459197753813527</v>
      </c>
      <c r="P14" s="36">
        <v>-0.43600831915094551</v>
      </c>
      <c r="AF14" s="47"/>
      <c r="AG14" s="37" t="s">
        <v>862</v>
      </c>
      <c r="AH14" s="35">
        <v>58.176247500000002</v>
      </c>
      <c r="AI14" s="30">
        <v>76.734477749999996</v>
      </c>
      <c r="AJ14" s="30">
        <v>84.92983799999999</v>
      </c>
      <c r="AK14" s="30">
        <v>89.916807750000004</v>
      </c>
      <c r="AL14" s="30">
        <v>90.418256250000013</v>
      </c>
      <c r="AM14" s="30">
        <v>84.281063999999986</v>
      </c>
      <c r="AN14" s="30">
        <v>73.998177749999996</v>
      </c>
      <c r="AO14" s="30" t="e">
        <v>#N/A</v>
      </c>
      <c r="AP14" s="30">
        <v>54.534317250000001</v>
      </c>
      <c r="AQ14" s="30" t="e">
        <v>#N/A</v>
      </c>
      <c r="AR14" s="30">
        <v>31.194575999999998</v>
      </c>
      <c r="AS14" s="30">
        <v>16.212908249999998</v>
      </c>
      <c r="AT14" s="36">
        <v>0</v>
      </c>
    </row>
    <row r="15" spans="2:73" x14ac:dyDescent="0.35">
      <c r="B15" s="47"/>
      <c r="C15" s="37" t="s">
        <v>863</v>
      </c>
      <c r="D15" s="35">
        <v>35.596089992166903</v>
      </c>
      <c r="E15" s="30">
        <v>35.596089710909759</v>
      </c>
      <c r="F15" s="30">
        <v>35.596084000933374</v>
      </c>
      <c r="G15" s="30">
        <v>35.595959979846242</v>
      </c>
      <c r="H15" s="30">
        <v>35.593180459149949</v>
      </c>
      <c r="I15" s="30">
        <v>35.52755790067166</v>
      </c>
      <c r="J15" s="30">
        <v>35.120055220855015</v>
      </c>
      <c r="K15" s="30">
        <v>33.82294553784228</v>
      </c>
      <c r="L15" s="30">
        <v>32.163291000554949</v>
      </c>
      <c r="M15" s="30">
        <v>26.489170013380544</v>
      </c>
      <c r="N15" s="30">
        <v>23.150844078608856</v>
      </c>
      <c r="O15" s="30">
        <v>13.417631746697717</v>
      </c>
      <c r="P15" s="36">
        <v>0.17966897381376001</v>
      </c>
      <c r="AF15" s="47"/>
      <c r="AG15" s="37" t="s">
        <v>863</v>
      </c>
      <c r="AH15" s="35">
        <v>21.37163</v>
      </c>
      <c r="AI15" s="30">
        <v>28.6894025</v>
      </c>
      <c r="AJ15" s="30">
        <v>32.3742625</v>
      </c>
      <c r="AK15" s="30">
        <v>35.489377499999996</v>
      </c>
      <c r="AL15" s="30">
        <v>37.059465000000003</v>
      </c>
      <c r="AM15" s="30">
        <v>37.206719999999997</v>
      </c>
      <c r="AN15" s="30">
        <v>36.043462499999997</v>
      </c>
      <c r="AO15" s="30" t="e">
        <v>#N/A</v>
      </c>
      <c r="AP15" s="30">
        <v>31.816075000000001</v>
      </c>
      <c r="AQ15" s="30" t="e">
        <v>#N/A</v>
      </c>
      <c r="AR15" s="30">
        <v>23.4064625</v>
      </c>
      <c r="AS15" s="30">
        <v>13.4266275</v>
      </c>
      <c r="AT15" s="36">
        <v>0</v>
      </c>
    </row>
    <row r="16" spans="2:73" x14ac:dyDescent="0.35">
      <c r="B16" s="47"/>
      <c r="C16" s="37" t="s">
        <v>864</v>
      </c>
      <c r="D16" s="35">
        <v>51.87649790865904</v>
      </c>
      <c r="E16" s="30">
        <v>51.87649780507715</v>
      </c>
      <c r="F16" s="30">
        <v>51.876494760907185</v>
      </c>
      <c r="G16" s="30">
        <v>51.87640102977317</v>
      </c>
      <c r="H16" s="30">
        <v>51.873465547663294</v>
      </c>
      <c r="I16" s="30">
        <v>51.779740588833107</v>
      </c>
      <c r="J16" s="30">
        <v>51.100061347246481</v>
      </c>
      <c r="K16" s="30">
        <v>48.804789233440374</v>
      </c>
      <c r="L16" s="30">
        <v>45.866283889852845</v>
      </c>
      <c r="M16" s="30">
        <v>36.304201191614531</v>
      </c>
      <c r="N16" s="30">
        <v>31.034032219360853</v>
      </c>
      <c r="O16" s="30">
        <v>16.782402427558516</v>
      </c>
      <c r="P16" s="36">
        <v>-1.1741912781612334</v>
      </c>
      <c r="AF16" s="47"/>
      <c r="AG16" s="37" t="s">
        <v>864</v>
      </c>
      <c r="AH16" s="35">
        <v>17.255525000000002</v>
      </c>
      <c r="AI16" s="30">
        <v>28.860384999999997</v>
      </c>
      <c r="AJ16" s="30">
        <v>37.18918</v>
      </c>
      <c r="AK16" s="30">
        <v>44.353585000000002</v>
      </c>
      <c r="AL16" s="30">
        <v>50.458970000000001</v>
      </c>
      <c r="AM16" s="30">
        <v>54.701979999999999</v>
      </c>
      <c r="AN16" s="30">
        <v>56.412265000000012</v>
      </c>
      <c r="AO16" s="30" t="e">
        <v>#N/A</v>
      </c>
      <c r="AP16" s="30">
        <v>48.348845000000004</v>
      </c>
      <c r="AQ16" s="30" t="e">
        <v>#N/A</v>
      </c>
      <c r="AR16" s="30">
        <v>29.456620000000001</v>
      </c>
      <c r="AS16" s="30">
        <v>15.397955000000001</v>
      </c>
      <c r="AT16" s="36">
        <v>0</v>
      </c>
    </row>
    <row r="17" spans="2:65" x14ac:dyDescent="0.35">
      <c r="B17" s="47"/>
      <c r="C17" s="37" t="s">
        <v>865</v>
      </c>
      <c r="D17" s="35">
        <v>26.1252886923983</v>
      </c>
      <c r="E17" s="30">
        <v>26.125288692392985</v>
      </c>
      <c r="F17" s="30">
        <v>26.125288691663989</v>
      </c>
      <c r="G17" s="30">
        <v>26.125288589587573</v>
      </c>
      <c r="H17" s="30">
        <v>26.125274028474124</v>
      </c>
      <c r="I17" s="30">
        <v>26.123141055444783</v>
      </c>
      <c r="J17" s="30">
        <v>26.081777231532026</v>
      </c>
      <c r="K17" s="30">
        <v>25.800582778464999</v>
      </c>
      <c r="L17" s="30">
        <v>25.242755761681934</v>
      </c>
      <c r="M17" s="30">
        <v>22.318195724577095</v>
      </c>
      <c r="N17" s="30">
        <v>20.087572280830138</v>
      </c>
      <c r="O17" s="30">
        <v>12.232257136009752</v>
      </c>
      <c r="P17" s="36">
        <v>-0.11325528803392153</v>
      </c>
      <c r="AF17" s="47"/>
      <c r="AG17" s="37" t="s">
        <v>865</v>
      </c>
      <c r="AH17" s="35">
        <v>16.531289999999998</v>
      </c>
      <c r="AI17" s="30">
        <v>21.900193333333334</v>
      </c>
      <c r="AJ17" s="30">
        <v>22.770496666666666</v>
      </c>
      <c r="AK17" s="30">
        <v>25.075523333333336</v>
      </c>
      <c r="AL17" s="30">
        <v>26.922600000000003</v>
      </c>
      <c r="AM17" s="30">
        <v>27.518276666666662</v>
      </c>
      <c r="AN17" s="30">
        <v>27.764700000000001</v>
      </c>
      <c r="AO17" s="30" t="e">
        <v>#N/A</v>
      </c>
      <c r="AP17" s="30">
        <v>25.929236666666668</v>
      </c>
      <c r="AQ17" s="30" t="e">
        <v>#N/A</v>
      </c>
      <c r="AR17" s="30">
        <v>20.071563333333334</v>
      </c>
      <c r="AS17" s="30">
        <v>11.974470333333334</v>
      </c>
      <c r="AT17" s="36">
        <v>0</v>
      </c>
    </row>
    <row r="18" spans="2:65" x14ac:dyDescent="0.35">
      <c r="B18" s="47"/>
      <c r="C18" s="37" t="s">
        <v>866</v>
      </c>
      <c r="D18" s="35">
        <v>82.159475859219853</v>
      </c>
      <c r="E18" s="30">
        <v>82.156818959011659</v>
      </c>
      <c r="F18" s="30">
        <v>82.14373898964358</v>
      </c>
      <c r="G18" s="30">
        <v>82.06681916750091</v>
      </c>
      <c r="H18" s="30">
        <v>81.604773191031654</v>
      </c>
      <c r="I18" s="30">
        <v>78.778719496573032</v>
      </c>
      <c r="J18" s="30">
        <v>72.231254737342368</v>
      </c>
      <c r="K18" s="30">
        <v>62.262161613896183</v>
      </c>
      <c r="L18" s="30">
        <v>54.422799161964889</v>
      </c>
      <c r="M18" s="30">
        <v>37.999030848618013</v>
      </c>
      <c r="N18" s="30">
        <v>31.217458210650264</v>
      </c>
      <c r="O18" s="30">
        <v>15.967235751371559</v>
      </c>
      <c r="P18" s="36">
        <v>-0.69139964899659445</v>
      </c>
      <c r="AF18" s="47"/>
      <c r="AG18" s="37" t="s">
        <v>866</v>
      </c>
      <c r="AH18" s="35">
        <v>42.403769358678154</v>
      </c>
      <c r="AI18" s="30">
        <v>56.874840857019514</v>
      </c>
      <c r="AJ18" s="30">
        <v>60.743796110895147</v>
      </c>
      <c r="AK18" s="30">
        <v>70.89403216233309</v>
      </c>
      <c r="AL18" s="30">
        <v>88.329216074561486</v>
      </c>
      <c r="AM18" s="30">
        <v>72.026620993379595</v>
      </c>
      <c r="AN18" s="30">
        <v>59.076239387633557</v>
      </c>
      <c r="AO18" s="30" t="e">
        <v>#N/A</v>
      </c>
      <c r="AP18" s="30">
        <v>49.039707398684051</v>
      </c>
      <c r="AQ18" s="30" t="e">
        <v>#N/A</v>
      </c>
      <c r="AR18" s="30">
        <v>29.247516585312564</v>
      </c>
      <c r="AS18" s="30">
        <v>15.403892502182297</v>
      </c>
      <c r="AT18" s="36">
        <v>0</v>
      </c>
    </row>
    <row r="19" spans="2:65" x14ac:dyDescent="0.35">
      <c r="B19" s="47"/>
      <c r="C19" s="37" t="s">
        <v>867</v>
      </c>
      <c r="D19" s="35">
        <v>60.741157180815193</v>
      </c>
      <c r="E19" s="30">
        <v>60.741130060681634</v>
      </c>
      <c r="F19" s="30">
        <v>60.740841202875629</v>
      </c>
      <c r="G19" s="30">
        <v>60.737437275816831</v>
      </c>
      <c r="H19" s="30">
        <v>60.696305317942432</v>
      </c>
      <c r="I19" s="30">
        <v>60.181004426235461</v>
      </c>
      <c r="J19" s="30">
        <v>58.151231595502892</v>
      </c>
      <c r="K19" s="30">
        <v>53.600063445408914</v>
      </c>
      <c r="L19" s="30">
        <v>49.017263534591144</v>
      </c>
      <c r="M19" s="30">
        <v>36.941763841639656</v>
      </c>
      <c r="N19" s="30">
        <v>31.088466578207786</v>
      </c>
      <c r="O19" s="30">
        <v>16.449122389222122</v>
      </c>
      <c r="P19" s="36">
        <v>-0.97869204692048806</v>
      </c>
      <c r="AF19" s="47"/>
      <c r="AG19" s="37" t="s">
        <v>867</v>
      </c>
      <c r="AH19" s="35">
        <v>31.910879999999995</v>
      </c>
      <c r="AI19" s="30">
        <v>48.53422333333333</v>
      </c>
      <c r="AJ19" s="30">
        <v>56.069366666666667</v>
      </c>
      <c r="AK19" s="30">
        <v>61.191906666666675</v>
      </c>
      <c r="AL19" s="30">
        <v>64.223819999999989</v>
      </c>
      <c r="AM19" s="30">
        <v>63.844376666666669</v>
      </c>
      <c r="AN19" s="30">
        <v>61.225750000000005</v>
      </c>
      <c r="AO19" s="30" t="e">
        <v>#N/A</v>
      </c>
      <c r="AP19" s="30">
        <v>49.673353333333331</v>
      </c>
      <c r="AQ19" s="30" t="e">
        <v>#N/A</v>
      </c>
      <c r="AR19" s="30">
        <v>29.885366666666666</v>
      </c>
      <c r="AS19" s="30">
        <v>15.598546666666666</v>
      </c>
      <c r="AT19" s="36">
        <v>0</v>
      </c>
    </row>
    <row r="20" spans="2:65" x14ac:dyDescent="0.35">
      <c r="B20" s="48"/>
      <c r="C20" s="38" t="s">
        <v>868</v>
      </c>
      <c r="D20" s="39">
        <v>82.115925435261119</v>
      </c>
      <c r="E20" s="40">
        <v>82.114764115930072</v>
      </c>
      <c r="F20" s="40">
        <v>82.107895579610116</v>
      </c>
      <c r="G20" s="40">
        <v>82.060533956176258</v>
      </c>
      <c r="H20" s="40">
        <v>81.727583001365403</v>
      </c>
      <c r="I20" s="40">
        <v>79.353703462200315</v>
      </c>
      <c r="J20" s="40">
        <v>73.266201483560621</v>
      </c>
      <c r="K20" s="40">
        <v>63.453716300360121</v>
      </c>
      <c r="L20" s="40">
        <v>55.541487760392364</v>
      </c>
      <c r="M20" s="40">
        <v>38.763944890355127</v>
      </c>
      <c r="N20" s="40">
        <v>31.812575849923558</v>
      </c>
      <c r="O20" s="40">
        <v>16.1882033636134</v>
      </c>
      <c r="P20" s="41">
        <v>-0.85451410109306913</v>
      </c>
      <c r="AF20" s="48"/>
      <c r="AG20" s="38" t="s">
        <v>868</v>
      </c>
      <c r="AH20" s="39">
        <v>57.490745000000004</v>
      </c>
      <c r="AI20" s="40">
        <v>76.645595</v>
      </c>
      <c r="AJ20" s="40">
        <v>82.047199999999989</v>
      </c>
      <c r="AK20" s="40">
        <v>84.160444999999996</v>
      </c>
      <c r="AL20" s="40">
        <v>83.950199999999995</v>
      </c>
      <c r="AM20" s="40">
        <v>80.338349999999991</v>
      </c>
      <c r="AN20" s="40">
        <v>74.023409999999998</v>
      </c>
      <c r="AO20" s="40" t="e">
        <v>#N/A</v>
      </c>
      <c r="AP20" s="40">
        <v>55.680415000000004</v>
      </c>
      <c r="AQ20" s="40" t="e">
        <v>#N/A</v>
      </c>
      <c r="AR20" s="40">
        <v>30.720215</v>
      </c>
      <c r="AS20" s="40">
        <v>15.753414999999999</v>
      </c>
      <c r="AT20" s="41">
        <v>0</v>
      </c>
    </row>
    <row r="21" spans="2:65" ht="15" customHeight="1" x14ac:dyDescent="0.35">
      <c r="B21" s="46" t="s">
        <v>869</v>
      </c>
      <c r="C21" s="30" t="s">
        <v>16</v>
      </c>
      <c r="D21" s="35">
        <v>21.008703249484583</v>
      </c>
      <c r="E21" s="30">
        <v>21.008105273612152</v>
      </c>
      <c r="F21" s="30">
        <v>21.004446371042512</v>
      </c>
      <c r="G21" s="30">
        <v>20.978590155412672</v>
      </c>
      <c r="H21" s="30">
        <v>20.794725479991794</v>
      </c>
      <c r="I21" s="30">
        <v>19.509752085696928</v>
      </c>
      <c r="J21" s="30">
        <v>16.413887811419837</v>
      </c>
      <c r="K21" s="30">
        <v>11.956016041260771</v>
      </c>
      <c r="L21" s="30">
        <v>8.8537903665681359</v>
      </c>
      <c r="M21" s="30">
        <v>3.9331349346564584</v>
      </c>
      <c r="N21" s="30">
        <v>2.6149351230126756</v>
      </c>
      <c r="O21" s="30">
        <v>0.96002073085337014</v>
      </c>
      <c r="P21" s="36">
        <v>0.53524404051611951</v>
      </c>
      <c r="AF21" s="47" t="s">
        <v>870</v>
      </c>
      <c r="AG21" s="30" t="s">
        <v>16</v>
      </c>
      <c r="AH21" s="35">
        <v>15.920887339407438</v>
      </c>
      <c r="AI21" s="30">
        <v>19.489712582587721</v>
      </c>
      <c r="AJ21" s="30">
        <v>21.365107747327883</v>
      </c>
      <c r="AK21" s="30">
        <v>23.707528157941436</v>
      </c>
      <c r="AL21" s="30">
        <v>23.841777195452249</v>
      </c>
      <c r="AM21" s="30">
        <v>20.332180238784101</v>
      </c>
      <c r="AN21" s="30">
        <v>15.21039857888279</v>
      </c>
      <c r="AO21" s="30" t="e">
        <v>#N/A</v>
      </c>
      <c r="AP21" s="30">
        <v>7.1907755827893807</v>
      </c>
      <c r="AQ21" s="30" t="e">
        <v>#N/A</v>
      </c>
      <c r="AR21" s="30">
        <v>2.0640014452381368</v>
      </c>
      <c r="AS21" s="30">
        <v>0.80387421390863267</v>
      </c>
      <c r="AT21" s="36">
        <v>0</v>
      </c>
    </row>
    <row r="22" spans="2:65" x14ac:dyDescent="0.35">
      <c r="B22" s="47"/>
      <c r="C22" s="30" t="s">
        <v>44</v>
      </c>
      <c r="D22" s="35">
        <v>10.970657037615256</v>
      </c>
      <c r="E22" s="30">
        <v>10.970594540668289</v>
      </c>
      <c r="F22" s="30">
        <v>10.970049262155548</v>
      </c>
      <c r="G22" s="30">
        <v>10.964738685269607</v>
      </c>
      <c r="H22" s="30">
        <v>10.912533659903247</v>
      </c>
      <c r="I22" s="30">
        <v>10.406733947475169</v>
      </c>
      <c r="J22" s="30">
        <v>8.8793935056127538</v>
      </c>
      <c r="K22" s="30">
        <v>6.3487924570028706</v>
      </c>
      <c r="L22" s="30">
        <v>4.4648133949311291</v>
      </c>
      <c r="M22" s="30">
        <v>1.4337829067852632</v>
      </c>
      <c r="N22" s="30">
        <v>0.69705411261213124</v>
      </c>
      <c r="O22" s="30">
        <v>0.38490169760776793</v>
      </c>
      <c r="P22" s="36">
        <v>0.76302193593877177</v>
      </c>
      <c r="AF22" s="47"/>
      <c r="AG22" s="30" t="s">
        <v>44</v>
      </c>
      <c r="AH22" s="35">
        <v>5.8698218803241051</v>
      </c>
      <c r="AI22" s="30">
        <v>8.9536486972016913</v>
      </c>
      <c r="AJ22" s="30">
        <v>11.850253411230641</v>
      </c>
      <c r="AK22" s="30">
        <v>13.347886220917951</v>
      </c>
      <c r="AL22" s="30">
        <v>14.258727505774502</v>
      </c>
      <c r="AM22" s="30">
        <v>13.781796989377732</v>
      </c>
      <c r="AN22" s="30">
        <v>12.042731230633407</v>
      </c>
      <c r="AO22" s="30" t="e">
        <v>#N/A</v>
      </c>
      <c r="AP22" s="30">
        <v>7.2284526012185006</v>
      </c>
      <c r="AQ22" s="30" t="e">
        <v>#N/A</v>
      </c>
      <c r="AR22" s="30">
        <v>2.2175396641738532</v>
      </c>
      <c r="AS22" s="30">
        <v>0.59185822105726615</v>
      </c>
      <c r="AT22" s="36">
        <v>0</v>
      </c>
    </row>
    <row r="23" spans="2:65" x14ac:dyDescent="0.35">
      <c r="B23" s="47"/>
      <c r="C23" s="30" t="s">
        <v>69</v>
      </c>
      <c r="D23" s="35">
        <v>10.8996055579911</v>
      </c>
      <c r="E23" s="30">
        <v>10.899602490764547</v>
      </c>
      <c r="F23" s="30">
        <v>10.899558777752517</v>
      </c>
      <c r="G23" s="30">
        <v>10.898896365407243</v>
      </c>
      <c r="H23" s="30">
        <v>10.888935755547294</v>
      </c>
      <c r="I23" s="30">
        <v>10.743757300062219</v>
      </c>
      <c r="J23" s="30">
        <v>10.164617529872125</v>
      </c>
      <c r="K23" s="30">
        <v>8.9908318751490839</v>
      </c>
      <c r="L23" s="30">
        <v>7.9687192606225947</v>
      </c>
      <c r="M23" s="30">
        <v>5.7705432250164153</v>
      </c>
      <c r="N23" s="30">
        <v>4.8423304309308826</v>
      </c>
      <c r="O23" s="30">
        <v>2.6124887061426429</v>
      </c>
      <c r="P23" s="36">
        <v>0.1378898527325966</v>
      </c>
      <c r="AF23" s="47"/>
      <c r="AG23" s="30" t="s">
        <v>69</v>
      </c>
      <c r="AH23" s="35">
        <v>0.89440668467985029</v>
      </c>
      <c r="AI23" s="30">
        <v>5.0996416852951771</v>
      </c>
      <c r="AJ23" s="30">
        <v>6.4963284891813737</v>
      </c>
      <c r="AK23" s="30">
        <v>6.9669734483597594</v>
      </c>
      <c r="AL23" s="30">
        <v>6.2320326284180094</v>
      </c>
      <c r="AM23" s="30">
        <v>5.28497824419994</v>
      </c>
      <c r="AN23" s="30">
        <v>4.6099805207469862</v>
      </c>
      <c r="AO23" s="30" t="e">
        <v>#N/A</v>
      </c>
      <c r="AP23" s="30">
        <v>2.8504793786425928</v>
      </c>
      <c r="AQ23" s="30" t="e">
        <v>#N/A</v>
      </c>
      <c r="AR23" s="30">
        <v>0.76348554041099437</v>
      </c>
      <c r="AS23" s="30">
        <v>0.23255863866274004</v>
      </c>
      <c r="AT23" s="36">
        <v>0</v>
      </c>
    </row>
    <row r="24" spans="2:65" x14ac:dyDescent="0.35">
      <c r="B24" s="47"/>
      <c r="C24" s="30" t="s">
        <v>94</v>
      </c>
      <c r="D24" s="35">
        <v>9.9823355691136797</v>
      </c>
      <c r="E24" s="30">
        <v>9.9785378924587302</v>
      </c>
      <c r="F24" s="30">
        <v>9.9622436286352869</v>
      </c>
      <c r="G24" s="30">
        <v>9.8808849215062686</v>
      </c>
      <c r="H24" s="30">
        <v>9.4934193172883443</v>
      </c>
      <c r="I24" s="30">
        <v>7.8499305225109923</v>
      </c>
      <c r="J24" s="30">
        <v>5.4030020929681166</v>
      </c>
      <c r="K24" s="30">
        <v>3.1306841859665759</v>
      </c>
      <c r="L24" s="30">
        <v>2.0008851330384663</v>
      </c>
      <c r="M24" s="30">
        <v>0.6781393171826946</v>
      </c>
      <c r="N24" s="30">
        <v>0.39025863283076306</v>
      </c>
      <c r="O24" s="30">
        <v>4.5057018012096266E-2</v>
      </c>
      <c r="P24" s="36">
        <v>0.12447093181036932</v>
      </c>
      <c r="AF24" s="47"/>
      <c r="AG24" s="30" t="s">
        <v>94</v>
      </c>
      <c r="AH24" s="35">
        <v>11.460011538065512</v>
      </c>
      <c r="AI24" s="30">
        <v>9.5746062988814629</v>
      </c>
      <c r="AJ24" s="30">
        <v>11.158482808324994</v>
      </c>
      <c r="AK24" s="30">
        <v>12.231045507262611</v>
      </c>
      <c r="AL24" s="30">
        <v>13.421036878657013</v>
      </c>
      <c r="AM24" s="30">
        <v>12.90790554137704</v>
      </c>
      <c r="AN24" s="30">
        <v>10.056538493443183</v>
      </c>
      <c r="AO24" s="30" t="e">
        <v>#N/A</v>
      </c>
      <c r="AP24" s="30">
        <v>4.1749400677928517</v>
      </c>
      <c r="AQ24" s="30" t="e">
        <v>#N/A</v>
      </c>
      <c r="AR24" s="30">
        <v>0.85737944451610515</v>
      </c>
      <c r="AS24" s="30">
        <v>0.30408761605273127</v>
      </c>
      <c r="AT24" s="36">
        <v>0</v>
      </c>
    </row>
    <row r="25" spans="2:65" x14ac:dyDescent="0.35">
      <c r="B25" s="47"/>
      <c r="C25" s="30" t="s">
        <v>119</v>
      </c>
      <c r="D25" s="35">
        <v>10.833123382927312</v>
      </c>
      <c r="E25" s="30">
        <v>10.833123217575546</v>
      </c>
      <c r="F25" s="30">
        <v>10.833119247879033</v>
      </c>
      <c r="G25" s="30">
        <v>10.833020139460764</v>
      </c>
      <c r="H25" s="30">
        <v>10.830547398895259</v>
      </c>
      <c r="I25" s="30">
        <v>10.769189721598947</v>
      </c>
      <c r="J25" s="30">
        <v>10.402324612208089</v>
      </c>
      <c r="K25" s="30">
        <v>9.3587690505607757</v>
      </c>
      <c r="L25" s="30">
        <v>8.2018220433937099</v>
      </c>
      <c r="M25" s="30">
        <v>5.1899897275835949</v>
      </c>
      <c r="N25" s="30">
        <v>3.9028104298808342</v>
      </c>
      <c r="O25" s="30">
        <v>1.497808577099655</v>
      </c>
      <c r="P25" s="36">
        <v>0.21919359119359125</v>
      </c>
      <c r="AF25" s="47"/>
      <c r="AG25" s="30" t="s">
        <v>119</v>
      </c>
      <c r="AH25" s="35">
        <v>9.459555629013451</v>
      </c>
      <c r="AI25" s="30">
        <v>11.248723485422193</v>
      </c>
      <c r="AJ25" s="30">
        <v>11.483132099269193</v>
      </c>
      <c r="AK25" s="30">
        <v>12.484738859707422</v>
      </c>
      <c r="AL25" s="30">
        <v>12.345939119230888</v>
      </c>
      <c r="AM25" s="30">
        <v>12.06836332311423</v>
      </c>
      <c r="AN25" s="30">
        <v>11.361737281731557</v>
      </c>
      <c r="AO25" s="30" t="e">
        <v>#N/A</v>
      </c>
      <c r="AP25" s="30">
        <v>8.6802856802155901</v>
      </c>
      <c r="AQ25" s="30" t="e">
        <v>#N/A</v>
      </c>
      <c r="AR25" s="30">
        <v>3.5328813759152378</v>
      </c>
      <c r="AS25" s="30">
        <v>0.97777891503595504</v>
      </c>
      <c r="AT25" s="36">
        <v>0</v>
      </c>
    </row>
    <row r="26" spans="2:65" x14ac:dyDescent="0.35">
      <c r="B26" s="47"/>
      <c r="C26" s="30" t="s">
        <v>144</v>
      </c>
      <c r="D26" s="35">
        <v>5.0543404783588946</v>
      </c>
      <c r="E26" s="30">
        <v>5.0518575873930365</v>
      </c>
      <c r="F26" s="30">
        <v>5.0414315101001446</v>
      </c>
      <c r="G26" s="30">
        <v>4.9908182975976052</v>
      </c>
      <c r="H26" s="30">
        <v>4.7590918153270545</v>
      </c>
      <c r="I26" s="30">
        <v>3.8339208613940077</v>
      </c>
      <c r="J26" s="30">
        <v>2.5631261645288799</v>
      </c>
      <c r="K26" s="30">
        <v>1.5077900080165572</v>
      </c>
      <c r="L26" s="30">
        <v>1.0463118851146243</v>
      </c>
      <c r="M26" s="30">
        <v>0.54492842104778227</v>
      </c>
      <c r="N26" s="30">
        <v>0.40797792657416643</v>
      </c>
      <c r="O26" s="30">
        <v>0.14241127501868392</v>
      </c>
      <c r="P26" s="36">
        <v>0.30550935912398247</v>
      </c>
      <c r="AF26" s="47"/>
      <c r="AG26" s="30" t="s">
        <v>144</v>
      </c>
      <c r="AH26" s="35">
        <v>4.8702550605372723</v>
      </c>
      <c r="AI26" s="30">
        <v>4.7074589712993387</v>
      </c>
      <c r="AJ26" s="30">
        <v>4.9638068914963531</v>
      </c>
      <c r="AK26" s="30">
        <v>5.4290306880715127</v>
      </c>
      <c r="AL26" s="30">
        <v>5.2079002666909826</v>
      </c>
      <c r="AM26" s="30">
        <v>4.06913101922538</v>
      </c>
      <c r="AN26" s="30">
        <v>2.4096482175389973</v>
      </c>
      <c r="AO26" s="30" t="e">
        <v>#N/A</v>
      </c>
      <c r="AP26" s="30">
        <v>0.66017620437442581</v>
      </c>
      <c r="AQ26" s="30" t="e">
        <v>#N/A</v>
      </c>
      <c r="AR26" s="30">
        <v>3.4633770610009301E-2</v>
      </c>
      <c r="AS26" s="30">
        <v>2.0555033446822885E-2</v>
      </c>
      <c r="AT26" s="36">
        <v>0</v>
      </c>
    </row>
    <row r="27" spans="2:65" x14ac:dyDescent="0.35">
      <c r="B27" s="47"/>
      <c r="C27" s="30" t="s">
        <v>169</v>
      </c>
      <c r="D27" s="35">
        <v>3.4920403181276076</v>
      </c>
      <c r="E27" s="30">
        <v>3.4920403181168203</v>
      </c>
      <c r="F27" s="30">
        <v>3.4920403170056411</v>
      </c>
      <c r="G27" s="30">
        <v>3.4920402004753712</v>
      </c>
      <c r="H27" s="30">
        <v>3.4920277475567145</v>
      </c>
      <c r="I27" s="30">
        <v>3.4906491621422728</v>
      </c>
      <c r="J27" s="30">
        <v>3.4684815621284382</v>
      </c>
      <c r="K27" s="30">
        <v>3.3430855802317234</v>
      </c>
      <c r="L27" s="30">
        <v>3.1350358167158796</v>
      </c>
      <c r="M27" s="30">
        <v>2.373975040040067</v>
      </c>
      <c r="N27" s="30">
        <v>1.9899299944249382</v>
      </c>
      <c r="O27" s="30">
        <v>1.1468824650885692</v>
      </c>
      <c r="P27" s="36">
        <v>0.12799478313114365</v>
      </c>
      <c r="AF27" s="47"/>
      <c r="AG27" s="30" t="s">
        <v>169</v>
      </c>
      <c r="AH27" s="35">
        <v>5.3898963082110134</v>
      </c>
      <c r="AI27" s="30">
        <v>3.5861553764659559</v>
      </c>
      <c r="AJ27" s="30">
        <v>3.9813223512156077</v>
      </c>
      <c r="AK27" s="30">
        <v>3.4714528875673798</v>
      </c>
      <c r="AL27" s="30">
        <v>3.3669202935356544</v>
      </c>
      <c r="AM27" s="30">
        <v>2.9067064397737545</v>
      </c>
      <c r="AN27" s="30">
        <v>2.849888128264376</v>
      </c>
      <c r="AO27" s="30" t="e">
        <v>#N/A</v>
      </c>
      <c r="AP27" s="30">
        <v>2.6440758597412954</v>
      </c>
      <c r="AQ27" s="30" t="e">
        <v>#N/A</v>
      </c>
      <c r="AR27" s="30">
        <v>1.9867820826205924</v>
      </c>
      <c r="AS27" s="30">
        <v>0.89403670399424284</v>
      </c>
      <c r="AT27" s="36">
        <v>0</v>
      </c>
    </row>
    <row r="28" spans="2:65" x14ac:dyDescent="0.35">
      <c r="B28" s="47"/>
      <c r="C28" s="30" t="s">
        <v>194</v>
      </c>
      <c r="D28" s="35">
        <v>9.0555784184432166</v>
      </c>
      <c r="E28" s="30">
        <v>9.0534384071527327</v>
      </c>
      <c r="F28" s="30">
        <v>9.0434132622920966</v>
      </c>
      <c r="G28" s="30">
        <v>8.9894219064828853</v>
      </c>
      <c r="H28" s="30">
        <v>8.7118507660863393</v>
      </c>
      <c r="I28" s="30">
        <v>7.4349180967016748</v>
      </c>
      <c r="J28" s="30">
        <v>5.3980114526101151</v>
      </c>
      <c r="K28" s="30">
        <v>3.3919850809397039</v>
      </c>
      <c r="L28" s="30">
        <v>2.3418514258156935</v>
      </c>
      <c r="M28" s="30">
        <v>1.0072421050744007</v>
      </c>
      <c r="N28" s="30">
        <v>0.66905348918653562</v>
      </c>
      <c r="O28" s="30">
        <v>0.14577588257267282</v>
      </c>
      <c r="P28" s="36">
        <v>0.27003237708607197</v>
      </c>
      <c r="AF28" s="47"/>
      <c r="AG28" s="30" t="s">
        <v>194</v>
      </c>
      <c r="AH28" s="35">
        <v>7.5161526668888046</v>
      </c>
      <c r="AI28" s="30">
        <v>10.870866208458805</v>
      </c>
      <c r="AJ28" s="30">
        <v>12.893002064989313</v>
      </c>
      <c r="AK28" s="30">
        <v>14.364568266622355</v>
      </c>
      <c r="AL28" s="30">
        <v>14.170599538640223</v>
      </c>
      <c r="AM28" s="30">
        <v>12.309851283340016</v>
      </c>
      <c r="AN28" s="30">
        <v>10.104888952006389</v>
      </c>
      <c r="AO28" s="30" t="e">
        <v>#N/A</v>
      </c>
      <c r="AP28" s="30">
        <v>7.1351708553262219</v>
      </c>
      <c r="AQ28" s="30" t="e">
        <v>#N/A</v>
      </c>
      <c r="AR28" s="30">
        <v>4.0302083451269404</v>
      </c>
      <c r="AS28" s="30">
        <v>2.0920781059035098</v>
      </c>
      <c r="AT28" s="36">
        <v>0</v>
      </c>
    </row>
    <row r="29" spans="2:65" x14ac:dyDescent="0.35">
      <c r="B29" s="47"/>
      <c r="C29" s="30" t="s">
        <v>218</v>
      </c>
      <c r="D29" s="35">
        <v>7.9423848859647963</v>
      </c>
      <c r="E29" s="30">
        <v>7.942384762682476</v>
      </c>
      <c r="F29" s="30">
        <v>7.94238212941067</v>
      </c>
      <c r="G29" s="30">
        <v>7.9423210469149774</v>
      </c>
      <c r="H29" s="30">
        <v>7.9408411416461266</v>
      </c>
      <c r="I29" s="30">
        <v>7.9037924012645462</v>
      </c>
      <c r="J29" s="30">
        <v>7.6816263194881564</v>
      </c>
      <c r="K29" s="30">
        <v>7.0681458894881857</v>
      </c>
      <c r="L29" s="30">
        <v>6.4199838794102639</v>
      </c>
      <c r="M29" s="30">
        <v>4.8239210164475796</v>
      </c>
      <c r="N29" s="30">
        <v>4.1144494783898624</v>
      </c>
      <c r="O29" s="30">
        <v>2.3169497936391239</v>
      </c>
      <c r="P29" s="36">
        <v>0.31790065989099564</v>
      </c>
      <c r="AF29" s="47"/>
      <c r="AG29" s="30" t="s">
        <v>218</v>
      </c>
      <c r="AH29" s="35">
        <v>6.0862334189176464</v>
      </c>
      <c r="AI29" s="30">
        <v>8.2707168305576015</v>
      </c>
      <c r="AJ29" s="30">
        <v>9.269019288747284</v>
      </c>
      <c r="AK29" s="30">
        <v>9.6689327168911827</v>
      </c>
      <c r="AL29" s="30">
        <v>9.6888185188765501</v>
      </c>
      <c r="AM29" s="30">
        <v>9.0541559515755257</v>
      </c>
      <c r="AN29" s="30">
        <v>7.939062855461529</v>
      </c>
      <c r="AO29" s="30" t="e">
        <v>#N/A</v>
      </c>
      <c r="AP29" s="30">
        <v>6.2503116536277519</v>
      </c>
      <c r="AQ29" s="30" t="e">
        <v>#N/A</v>
      </c>
      <c r="AR29" s="30">
        <v>3.5762070506569881</v>
      </c>
      <c r="AS29" s="30">
        <v>1.6733299640443908</v>
      </c>
      <c r="AT29" s="36">
        <v>0</v>
      </c>
    </row>
    <row r="30" spans="2:65" x14ac:dyDescent="0.35">
      <c r="B30" s="47"/>
      <c r="C30" s="30" t="s">
        <v>243</v>
      </c>
      <c r="D30" s="35">
        <v>2.2235985652238881</v>
      </c>
      <c r="E30" s="30">
        <v>2.2235984856606308</v>
      </c>
      <c r="F30" s="30">
        <v>2.223596384042196</v>
      </c>
      <c r="G30" s="30">
        <v>2.2235405606863878</v>
      </c>
      <c r="H30" s="30">
        <v>2.2221296404394515</v>
      </c>
      <c r="I30" s="30">
        <v>2.1896820629066589</v>
      </c>
      <c r="J30" s="30">
        <v>2.020891945640269</v>
      </c>
      <c r="K30" s="30">
        <v>1.6194472534353466</v>
      </c>
      <c r="L30" s="30">
        <v>1.2458398131889616</v>
      </c>
      <c r="M30" s="30">
        <v>0.50466455280293587</v>
      </c>
      <c r="N30" s="30">
        <v>0.27558770257314258</v>
      </c>
      <c r="O30" s="30">
        <v>7.0175137092132189E-3</v>
      </c>
      <c r="P30" s="36">
        <v>2.337528618046214E-2</v>
      </c>
      <c r="AF30" s="47"/>
      <c r="AG30" s="30" t="s">
        <v>243</v>
      </c>
      <c r="AH30" s="35">
        <v>4.3291649999999917</v>
      </c>
      <c r="AI30" s="30">
        <v>2.7902649999999998</v>
      </c>
      <c r="AJ30" s="30">
        <v>3.198439999999998</v>
      </c>
      <c r="AK30" s="30">
        <v>3.3102449999999983</v>
      </c>
      <c r="AL30" s="30">
        <v>2.4033700000000024</v>
      </c>
      <c r="AM30" s="30">
        <v>1.829460000000001</v>
      </c>
      <c r="AN30" s="30">
        <v>1.579184999999999</v>
      </c>
      <c r="AO30" s="30" t="e">
        <v>#N/A</v>
      </c>
      <c r="AP30" s="30">
        <v>0.58965500000000048</v>
      </c>
      <c r="AQ30" s="30" t="e">
        <v>#N/A</v>
      </c>
      <c r="AR30" s="30">
        <v>0.41808999999999941</v>
      </c>
      <c r="AS30" s="30">
        <v>8.231500000000036E-2</v>
      </c>
      <c r="AT30" s="36">
        <v>0</v>
      </c>
    </row>
    <row r="31" spans="2:65" x14ac:dyDescent="0.35">
      <c r="B31" s="47"/>
      <c r="C31" s="30" t="s">
        <v>268</v>
      </c>
      <c r="D31" s="35">
        <v>4.84292443309932</v>
      </c>
      <c r="E31" s="30">
        <v>4.8429244330965808</v>
      </c>
      <c r="F31" s="30">
        <v>4.8429244327153027</v>
      </c>
      <c r="G31" s="30">
        <v>4.8429243792055336</v>
      </c>
      <c r="H31" s="30">
        <v>4.8429170071647096</v>
      </c>
      <c r="I31" s="30">
        <v>4.8419455455801854</v>
      </c>
      <c r="J31" s="30">
        <v>4.8254245506203564</v>
      </c>
      <c r="K31" s="30">
        <v>4.728123160309436</v>
      </c>
      <c r="L31" s="30">
        <v>4.5567207296675445</v>
      </c>
      <c r="M31" s="30">
        <v>3.8046206934757643</v>
      </c>
      <c r="N31" s="30">
        <v>3.3114475576911975</v>
      </c>
      <c r="O31" s="30">
        <v>1.8424371700927766</v>
      </c>
      <c r="P31" s="36">
        <v>0.12353939672210609</v>
      </c>
      <c r="AF31" s="47"/>
      <c r="AG31" s="30" t="s">
        <v>268</v>
      </c>
      <c r="AH31" s="35">
        <v>4.5298943050583489</v>
      </c>
      <c r="AI31" s="30">
        <v>4.2079614713804423</v>
      </c>
      <c r="AJ31" s="30">
        <v>4.1576445323230455</v>
      </c>
      <c r="AK31" s="30">
        <v>4.7861696418558051</v>
      </c>
      <c r="AL31" s="30">
        <v>4.6172838830420639</v>
      </c>
      <c r="AM31" s="30">
        <v>5.2076914981101954</v>
      </c>
      <c r="AN31" s="30">
        <v>5.3314303676655737</v>
      </c>
      <c r="AO31" s="30" t="e">
        <v>#N/A</v>
      </c>
      <c r="AP31" s="30">
        <v>4.9458734682988181</v>
      </c>
      <c r="AQ31" s="30" t="e">
        <v>#N/A</v>
      </c>
      <c r="AR31" s="30">
        <v>3.3454668075704381</v>
      </c>
      <c r="AS31" s="30">
        <v>1.6321324957429766</v>
      </c>
      <c r="AT31" s="36">
        <v>0</v>
      </c>
    </row>
    <row r="32" spans="2:65" x14ac:dyDescent="0.35">
      <c r="B32" s="47"/>
      <c r="C32" s="30" t="s">
        <v>291</v>
      </c>
      <c r="D32" s="35">
        <v>15.7765048173124</v>
      </c>
      <c r="E32" s="30">
        <v>15.773638584275588</v>
      </c>
      <c r="F32" s="30">
        <v>15.760232115537399</v>
      </c>
      <c r="G32" s="30">
        <v>15.686656531491037</v>
      </c>
      <c r="H32" s="30">
        <v>15.291197651836123</v>
      </c>
      <c r="I32" s="30">
        <v>13.315289054988318</v>
      </c>
      <c r="J32" s="30">
        <v>9.833211432943008</v>
      </c>
      <c r="K32" s="30">
        <v>6.0585632421590265</v>
      </c>
      <c r="L32" s="30">
        <v>3.9571126591562855</v>
      </c>
      <c r="M32" s="30">
        <v>1.2748221088605771</v>
      </c>
      <c r="N32" s="30">
        <v>0.67080287722756726</v>
      </c>
      <c r="O32" s="30">
        <v>0.3488946846255338</v>
      </c>
      <c r="P32" s="36">
        <v>0.88091055672519925</v>
      </c>
      <c r="U32" t="str">
        <f>_xlfn.CONCAT(U28:U30)</f>
        <v/>
      </c>
      <c r="AF32" s="47"/>
      <c r="AG32" s="30" t="s">
        <v>291</v>
      </c>
      <c r="AH32" s="35">
        <v>15.435024162904041</v>
      </c>
      <c r="AI32" s="30">
        <v>23.116998024810652</v>
      </c>
      <c r="AJ32" s="30">
        <v>27.680718719951273</v>
      </c>
      <c r="AK32" s="30">
        <v>23.3785640353052</v>
      </c>
      <c r="AL32" s="30">
        <v>40.614880506400254</v>
      </c>
      <c r="AM32" s="30">
        <v>20.90783747925515</v>
      </c>
      <c r="AN32" s="30">
        <v>19.364522294506816</v>
      </c>
      <c r="AO32" s="30" t="e">
        <v>#N/A</v>
      </c>
      <c r="AP32" s="30">
        <v>8.4661033701302735</v>
      </c>
      <c r="AQ32" s="30" t="e">
        <v>#N/A</v>
      </c>
      <c r="AR32" s="30">
        <v>1.6812133062203178</v>
      </c>
      <c r="AS32" s="30">
        <v>0.35139557006541799</v>
      </c>
      <c r="AT32" s="36">
        <v>0</v>
      </c>
      <c r="AY32" t="str">
        <f>_xlfn.CONCAT(AY28:AY30)</f>
        <v/>
      </c>
      <c r="BM32" t="str">
        <f>_xlfn.CONCAT(BM28:BM30)</f>
        <v/>
      </c>
    </row>
    <row r="33" spans="2:46" x14ac:dyDescent="0.35">
      <c r="B33" s="47"/>
      <c r="C33" s="30" t="s">
        <v>316</v>
      </c>
      <c r="D33" s="35">
        <v>11.224304314102007</v>
      </c>
      <c r="E33" s="30">
        <v>11.224279663165257</v>
      </c>
      <c r="F33" s="30">
        <v>11.224022830868478</v>
      </c>
      <c r="G33" s="30">
        <v>11.221089976806947</v>
      </c>
      <c r="H33" s="30">
        <v>11.187456745331147</v>
      </c>
      <c r="I33" s="30">
        <v>10.809537816424017</v>
      </c>
      <c r="J33" s="30">
        <v>9.5466525095536348</v>
      </c>
      <c r="K33" s="30">
        <v>7.2944146613483225</v>
      </c>
      <c r="L33" s="30">
        <v>5.5228801868055823</v>
      </c>
      <c r="M33" s="30">
        <v>2.4191883118374569</v>
      </c>
      <c r="N33" s="30">
        <v>1.5065064269481701</v>
      </c>
      <c r="O33" s="30">
        <v>0.29230635716984726</v>
      </c>
      <c r="P33" s="36">
        <v>0.39370325852303206</v>
      </c>
      <c r="AF33" s="47"/>
      <c r="AG33" s="30" t="s">
        <v>316</v>
      </c>
      <c r="AH33" s="35">
        <v>8.8506185106014037</v>
      </c>
      <c r="AI33" s="30">
        <v>12.070505540482635</v>
      </c>
      <c r="AJ33" s="30">
        <v>11.501377427833971</v>
      </c>
      <c r="AK33" s="30">
        <v>10.947194095600718</v>
      </c>
      <c r="AL33" s="30">
        <v>11.009299288077722</v>
      </c>
      <c r="AM33" s="30">
        <v>10.247134199236138</v>
      </c>
      <c r="AN33" s="30">
        <v>9.3778155438495698</v>
      </c>
      <c r="AO33" s="30" t="e">
        <v>#N/A</v>
      </c>
      <c r="AP33" s="30">
        <v>5.2045826846881358</v>
      </c>
      <c r="AQ33" s="30" t="e">
        <v>#N/A</v>
      </c>
      <c r="AR33" s="30">
        <v>0.83573848917522631</v>
      </c>
      <c r="AS33" s="30">
        <v>0.2088341750980644</v>
      </c>
      <c r="AT33" s="36">
        <v>0</v>
      </c>
    </row>
    <row r="34" spans="2:46" x14ac:dyDescent="0.35">
      <c r="B34" s="48"/>
      <c r="C34" s="40" t="s">
        <v>340</v>
      </c>
      <c r="D34" s="39">
        <v>9.7946855085966646</v>
      </c>
      <c r="E34" s="40">
        <v>9.7936410408829815</v>
      </c>
      <c r="F34" s="40">
        <v>9.7878767022198545</v>
      </c>
      <c r="G34" s="40">
        <v>9.7519553881449426</v>
      </c>
      <c r="H34" s="40">
        <v>9.5374392686336336</v>
      </c>
      <c r="I34" s="40">
        <v>8.3795190404922906</v>
      </c>
      <c r="J34" s="40">
        <v>6.2724471971804689</v>
      </c>
      <c r="K34" s="40">
        <v>3.9802506615700217</v>
      </c>
      <c r="L34" s="40">
        <v>2.7053219235443464</v>
      </c>
      <c r="M34" s="40">
        <v>1.0417754955065099</v>
      </c>
      <c r="N34" s="40">
        <v>0.63522303107190048</v>
      </c>
      <c r="O34" s="40">
        <v>9.2241695919618394E-2</v>
      </c>
      <c r="P34" s="41">
        <v>0.19330396049056761</v>
      </c>
      <c r="AF34" s="48"/>
      <c r="AG34" s="40" t="s">
        <v>340</v>
      </c>
      <c r="AH34" s="39">
        <v>6.5323250000000037</v>
      </c>
      <c r="AI34" s="40">
        <v>9.9719450000000496</v>
      </c>
      <c r="AJ34" s="40">
        <v>9.6488799999999983</v>
      </c>
      <c r="AK34" s="40">
        <v>9.9436350000000004</v>
      </c>
      <c r="AL34" s="40">
        <v>9.4289899999999989</v>
      </c>
      <c r="AM34" s="40">
        <v>8.3540999999999954</v>
      </c>
      <c r="AN34" s="40">
        <v>6.459620000000001</v>
      </c>
      <c r="AO34" s="40" t="e">
        <v>#N/A</v>
      </c>
      <c r="AP34" s="40">
        <v>2.4593450000000026</v>
      </c>
      <c r="AQ34" s="40" t="e">
        <v>#N/A</v>
      </c>
      <c r="AR34" s="40">
        <v>0.36239499999999936</v>
      </c>
      <c r="AS34" s="40">
        <v>0.1330549999999997</v>
      </c>
      <c r="AT34" s="41">
        <v>0</v>
      </c>
    </row>
    <row r="37" spans="2:46" x14ac:dyDescent="0.35">
      <c r="B37" s="30"/>
      <c r="C37" s="30"/>
      <c r="D37" s="31">
        <v>2000</v>
      </c>
      <c r="E37" s="32">
        <v>1500</v>
      </c>
      <c r="F37" s="32">
        <v>1250</v>
      </c>
      <c r="G37" s="32">
        <v>1000</v>
      </c>
      <c r="H37" s="32">
        <v>750</v>
      </c>
      <c r="I37" s="32">
        <v>500</v>
      </c>
      <c r="J37" s="32">
        <v>350</v>
      </c>
      <c r="K37" s="32">
        <v>250</v>
      </c>
      <c r="L37" s="32">
        <v>200</v>
      </c>
      <c r="M37" s="32">
        <v>125</v>
      </c>
      <c r="N37" s="32">
        <v>100</v>
      </c>
      <c r="O37" s="32">
        <v>50</v>
      </c>
      <c r="P37" s="33">
        <v>1.0000800000000001E-2</v>
      </c>
      <c r="AF37" s="30"/>
      <c r="AG37" s="30"/>
      <c r="AH37" s="31">
        <v>2000</v>
      </c>
      <c r="AI37" s="32">
        <v>1500</v>
      </c>
      <c r="AJ37" s="32">
        <v>1250</v>
      </c>
      <c r="AK37" s="32">
        <v>1000</v>
      </c>
      <c r="AL37" s="32">
        <v>750</v>
      </c>
      <c r="AM37" s="32">
        <v>500</v>
      </c>
      <c r="AN37" s="32">
        <v>350</v>
      </c>
      <c r="AO37" s="32">
        <v>250</v>
      </c>
      <c r="AP37" s="32">
        <v>200</v>
      </c>
      <c r="AQ37" s="32">
        <v>125</v>
      </c>
      <c r="AR37" s="32">
        <v>100</v>
      </c>
      <c r="AS37" s="32">
        <v>50</v>
      </c>
      <c r="AT37" s="33">
        <v>1.0000800000000001E-2</v>
      </c>
    </row>
    <row r="38" spans="2:46" ht="15" customHeight="1" x14ac:dyDescent="0.35">
      <c r="B38" s="46" t="s">
        <v>871</v>
      </c>
      <c r="C38" s="34" t="s">
        <v>854</v>
      </c>
      <c r="D38" s="35">
        <v>42.589112880540497</v>
      </c>
      <c r="E38" s="30">
        <v>42.589112183380706</v>
      </c>
      <c r="F38" s="30">
        <v>42.589100246366961</v>
      </c>
      <c r="G38" s="30">
        <v>42.58887482920867</v>
      </c>
      <c r="H38" s="30">
        <v>42.584333974706936</v>
      </c>
      <c r="I38" s="30">
        <v>42.483978417739891</v>
      </c>
      <c r="J38" s="30">
        <v>41.882379763625337</v>
      </c>
      <c r="K38" s="30">
        <v>40.046593434656216</v>
      </c>
      <c r="L38" s="30">
        <v>37.80119586116556</v>
      </c>
      <c r="M38" s="30">
        <v>30.635924125801296</v>
      </c>
      <c r="N38" s="30">
        <v>26.640884033437221</v>
      </c>
      <c r="O38" s="30">
        <v>15.283470770069037</v>
      </c>
      <c r="P38" s="36">
        <v>-0.43955883426799469</v>
      </c>
      <c r="AF38" s="46" t="s">
        <v>872</v>
      </c>
      <c r="AG38" s="34" t="s">
        <v>854</v>
      </c>
      <c r="AH38" s="35">
        <v>30.281716779149971</v>
      </c>
      <c r="AI38" s="30">
        <v>39.447857860213404</v>
      </c>
      <c r="AJ38" s="30">
        <v>43.468136475711269</v>
      </c>
      <c r="AK38" s="30">
        <v>46.743608564674659</v>
      </c>
      <c r="AL38" s="30">
        <v>49.149759922486218</v>
      </c>
      <c r="AM38" s="30">
        <v>50.505389938221796</v>
      </c>
      <c r="AN38" s="30" t="e">
        <v>#N/A</v>
      </c>
      <c r="AO38" s="30">
        <v>47.727396352745487</v>
      </c>
      <c r="AP38" s="30" t="e">
        <v>#N/A</v>
      </c>
      <c r="AQ38" s="30">
        <v>33.66700864055381</v>
      </c>
      <c r="AR38" s="30" t="e">
        <v>#N/A</v>
      </c>
      <c r="AS38" s="30">
        <v>14.947475723978313</v>
      </c>
      <c r="AT38" s="36">
        <v>0</v>
      </c>
    </row>
    <row r="39" spans="2:46" x14ac:dyDescent="0.35">
      <c r="B39" s="47"/>
      <c r="C39" s="37" t="s">
        <v>856</v>
      </c>
      <c r="D39" s="35">
        <v>34.246934958297715</v>
      </c>
      <c r="E39" s="30">
        <v>34.246934957596011</v>
      </c>
      <c r="F39" s="30">
        <v>34.246934918263129</v>
      </c>
      <c r="G39" s="30">
        <v>34.246932591377451</v>
      </c>
      <c r="H39" s="30">
        <v>34.246787357002475</v>
      </c>
      <c r="I39" s="30">
        <v>34.236960176557027</v>
      </c>
      <c r="J39" s="30">
        <v>34.115188057444954</v>
      </c>
      <c r="K39" s="30">
        <v>33.495460242688765</v>
      </c>
      <c r="L39" s="30">
        <v>32.454413078160798</v>
      </c>
      <c r="M39" s="30">
        <v>27.862131946121679</v>
      </c>
      <c r="N39" s="30">
        <v>24.721740851433029</v>
      </c>
      <c r="O39" s="30">
        <v>14.59816262824577</v>
      </c>
      <c r="P39" s="36">
        <v>-0.2124395546920515</v>
      </c>
      <c r="AF39" s="47"/>
      <c r="AG39" s="37" t="s">
        <v>856</v>
      </c>
      <c r="AH39" s="35">
        <v>14.285781490423503</v>
      </c>
      <c r="AI39" s="30">
        <v>21.533533494908596</v>
      </c>
      <c r="AJ39" s="30">
        <v>24.897974027003183</v>
      </c>
      <c r="AK39" s="30">
        <v>27.957299220560429</v>
      </c>
      <c r="AL39" s="30">
        <v>30.60037024441781</v>
      </c>
      <c r="AM39" s="30">
        <v>32.4236900283328</v>
      </c>
      <c r="AN39" s="30">
        <v>34.577615000000002</v>
      </c>
      <c r="AO39" s="30">
        <v>30.742566559151939</v>
      </c>
      <c r="AP39" s="30">
        <v>32.579979999999999</v>
      </c>
      <c r="AQ39" s="30">
        <v>25.705634756454632</v>
      </c>
      <c r="AR39" s="30">
        <v>25.109220000000004</v>
      </c>
      <c r="AS39" s="30">
        <v>14.034476825274149</v>
      </c>
      <c r="AT39" s="36">
        <v>0</v>
      </c>
    </row>
    <row r="40" spans="2:46" x14ac:dyDescent="0.35">
      <c r="B40" s="47"/>
      <c r="C40" s="37" t="s">
        <v>857</v>
      </c>
      <c r="D40" s="35">
        <v>61.908258135502784</v>
      </c>
      <c r="E40" s="30">
        <v>63.67569203205332</v>
      </c>
      <c r="F40" s="30">
        <v>63.669896939016034</v>
      </c>
      <c r="G40" s="30">
        <v>63.63625471710926</v>
      </c>
      <c r="H40" s="30">
        <v>63.430332317912807</v>
      </c>
      <c r="I40" s="30">
        <v>62.075437492122397</v>
      </c>
      <c r="J40" s="30">
        <v>58.580220499867842</v>
      </c>
      <c r="K40" s="30">
        <v>52.573818864161026</v>
      </c>
      <c r="L40" s="30">
        <v>47.338233510166141</v>
      </c>
      <c r="M40" s="30">
        <v>34.964695951234567</v>
      </c>
      <c r="N40" s="30">
        <v>29.317469448129899</v>
      </c>
      <c r="O40" s="30">
        <v>15.614139292404429</v>
      </c>
      <c r="P40" s="36">
        <v>-0.38928749866926826</v>
      </c>
      <c r="AF40" s="47"/>
      <c r="AG40" s="37" t="s">
        <v>857</v>
      </c>
      <c r="AH40" s="35">
        <v>38.322990104142576</v>
      </c>
      <c r="AI40" s="30">
        <v>52.399385777819376</v>
      </c>
      <c r="AJ40" s="30">
        <v>59.925966306890807</v>
      </c>
      <c r="AK40" s="30">
        <v>63.88958444853052</v>
      </c>
      <c r="AL40" s="30">
        <v>65.897672725782868</v>
      </c>
      <c r="AM40" s="30">
        <v>64.735022420383601</v>
      </c>
      <c r="AN40" s="30" t="e">
        <v>#N/A</v>
      </c>
      <c r="AO40" s="30">
        <v>53.763800977356425</v>
      </c>
      <c r="AP40" s="30" t="e">
        <v>#N/A</v>
      </c>
      <c r="AQ40" s="30">
        <v>34.184746942630973</v>
      </c>
      <c r="AR40" s="30" t="e">
        <v>#N/A</v>
      </c>
      <c r="AS40" s="30">
        <v>14.796799129019506</v>
      </c>
      <c r="AT40" s="36">
        <v>0</v>
      </c>
    </row>
    <row r="41" spans="2:46" x14ac:dyDescent="0.35">
      <c r="B41" s="47"/>
      <c r="C41" s="37" t="s">
        <v>858</v>
      </c>
      <c r="D41" s="35">
        <v>29.682697590114092</v>
      </c>
      <c r="E41" s="30">
        <v>29.682697590076796</v>
      </c>
      <c r="F41" s="30">
        <v>29.682697586402004</v>
      </c>
      <c r="G41" s="30">
        <v>29.682697220049548</v>
      </c>
      <c r="H41" s="30">
        <v>29.682660455640917</v>
      </c>
      <c r="I41" s="30">
        <v>29.678880916005198</v>
      </c>
      <c r="J41" s="30">
        <v>29.619248486046548</v>
      </c>
      <c r="K41" s="30">
        <v>29.260349177244436</v>
      </c>
      <c r="L41" s="30">
        <v>28.589361415247961</v>
      </c>
      <c r="M41" s="30">
        <v>25.227978800705973</v>
      </c>
      <c r="N41" s="30">
        <v>22.707732096917386</v>
      </c>
      <c r="O41" s="30">
        <v>13.838626312464351</v>
      </c>
      <c r="P41" s="36">
        <v>-0.23691515717986425</v>
      </c>
      <c r="AF41" s="47"/>
      <c r="AG41" s="37" t="s">
        <v>858</v>
      </c>
      <c r="AH41" s="35">
        <v>17.826793805305861</v>
      </c>
      <c r="AI41" s="30">
        <v>24.407677422070222</v>
      </c>
      <c r="AJ41" s="30">
        <v>25.960865048271746</v>
      </c>
      <c r="AK41" s="30">
        <v>27.645095556947098</v>
      </c>
      <c r="AL41" s="30">
        <v>28.956399822551372</v>
      </c>
      <c r="AM41" s="30">
        <v>29.931035813633383</v>
      </c>
      <c r="AN41" s="30" t="e">
        <v>#N/A</v>
      </c>
      <c r="AO41" s="30">
        <v>29.515040696499923</v>
      </c>
      <c r="AP41" s="30" t="e">
        <v>#N/A</v>
      </c>
      <c r="AQ41" s="30">
        <v>25.81883087934504</v>
      </c>
      <c r="AR41" s="30" t="e">
        <v>#N/A</v>
      </c>
      <c r="AS41" s="30">
        <v>13.229531802740278</v>
      </c>
      <c r="AT41" s="36">
        <v>0</v>
      </c>
    </row>
    <row r="42" spans="2:46" x14ac:dyDescent="0.35">
      <c r="B42" s="47"/>
      <c r="C42" s="37" t="s">
        <v>859</v>
      </c>
      <c r="D42" s="35">
        <v>29.59115072402718</v>
      </c>
      <c r="E42" s="30">
        <v>29.591150723946932</v>
      </c>
      <c r="F42" s="30">
        <v>29.591150718382039</v>
      </c>
      <c r="G42" s="30">
        <v>29.591150315090538</v>
      </c>
      <c r="H42" s="30">
        <v>29.591119221175422</v>
      </c>
      <c r="I42" s="30">
        <v>29.588390380958185</v>
      </c>
      <c r="J42" s="30">
        <v>29.546029122066408</v>
      </c>
      <c r="K42" s="30">
        <v>29.281245605537276</v>
      </c>
      <c r="L42" s="30">
        <v>28.763546822922528</v>
      </c>
      <c r="M42" s="30">
        <v>25.964520865665769</v>
      </c>
      <c r="N42" s="30">
        <v>23.719101416539413</v>
      </c>
      <c r="O42" s="30">
        <v>15.084933598319248</v>
      </c>
      <c r="P42" s="36">
        <v>-0.29639650292495823</v>
      </c>
      <c r="AF42" s="47"/>
      <c r="AG42" s="37" t="s">
        <v>859</v>
      </c>
      <c r="AH42" s="35">
        <v>16.422940755191494</v>
      </c>
      <c r="AI42" s="30">
        <v>21.062129159418681</v>
      </c>
      <c r="AJ42" s="30">
        <v>24.07049067977923</v>
      </c>
      <c r="AK42" s="30">
        <v>26.755319732922079</v>
      </c>
      <c r="AL42" s="30">
        <v>29.342838478514512</v>
      </c>
      <c r="AM42" s="30">
        <v>31.422020861640874</v>
      </c>
      <c r="AN42" s="30" t="e">
        <v>#N/A</v>
      </c>
      <c r="AO42" s="30">
        <v>31.514223073601983</v>
      </c>
      <c r="AP42" s="30" t="e">
        <v>#N/A</v>
      </c>
      <c r="AQ42" s="30">
        <v>27.692063417787779</v>
      </c>
      <c r="AR42" s="30" t="e">
        <v>#N/A</v>
      </c>
      <c r="AS42" s="30">
        <v>14.257543748302638</v>
      </c>
      <c r="AT42" s="36">
        <v>0</v>
      </c>
    </row>
    <row r="43" spans="2:46" x14ac:dyDescent="0.35">
      <c r="B43" s="47"/>
      <c r="C43" s="37" t="s">
        <v>860</v>
      </c>
      <c r="D43" s="35">
        <v>45.459525042560976</v>
      </c>
      <c r="E43" s="30">
        <v>45.459522112282592</v>
      </c>
      <c r="F43" s="30">
        <v>45.459479893259456</v>
      </c>
      <c r="G43" s="30">
        <v>45.458819778569463</v>
      </c>
      <c r="H43" s="30">
        <v>45.448174734572618</v>
      </c>
      <c r="I43" s="30">
        <v>45.266927308287627</v>
      </c>
      <c r="J43" s="30">
        <v>44.368326199827422</v>
      </c>
      <c r="K43" s="30">
        <v>41.964297968230703</v>
      </c>
      <c r="L43" s="30">
        <v>39.241725785606498</v>
      </c>
      <c r="M43" s="30">
        <v>31.149778091022345</v>
      </c>
      <c r="N43" s="30">
        <v>26.859188999379054</v>
      </c>
      <c r="O43" s="30">
        <v>15.194290279150191</v>
      </c>
      <c r="P43" s="36">
        <v>-0.59714123506981132</v>
      </c>
      <c r="AF43" s="47"/>
      <c r="AG43" s="37" t="s">
        <v>860</v>
      </c>
      <c r="AH43" s="35">
        <v>34.581491909924161</v>
      </c>
      <c r="AI43" s="30">
        <v>41.401690556822309</v>
      </c>
      <c r="AJ43" s="30">
        <v>45.491449449046115</v>
      </c>
      <c r="AK43" s="30">
        <v>49.199595033487569</v>
      </c>
      <c r="AL43" s="30">
        <v>51.50496473638178</v>
      </c>
      <c r="AM43" s="30">
        <v>52.556113659691043</v>
      </c>
      <c r="AN43" s="30" t="e">
        <v>#N/A</v>
      </c>
      <c r="AO43" s="30">
        <v>48.82121331853461</v>
      </c>
      <c r="AP43" s="30" t="e">
        <v>#N/A</v>
      </c>
      <c r="AQ43" s="30">
        <v>34.000773099790756</v>
      </c>
      <c r="AR43" s="30" t="e">
        <v>#N/A</v>
      </c>
      <c r="AS43" s="30">
        <v>14.857173808335798</v>
      </c>
      <c r="AT43" s="36">
        <v>0</v>
      </c>
    </row>
    <row r="44" spans="2:46" x14ac:dyDescent="0.35">
      <c r="B44" s="47"/>
      <c r="C44" s="37" t="s">
        <v>861</v>
      </c>
      <c r="D44" s="35">
        <v>41.81940882816707</v>
      </c>
      <c r="E44" s="30">
        <v>41.819408645897987</v>
      </c>
      <c r="F44" s="30">
        <v>41.819404713071769</v>
      </c>
      <c r="G44" s="30">
        <v>41.819313545182133</v>
      </c>
      <c r="H44" s="30">
        <v>41.817100719755473</v>
      </c>
      <c r="I44" s="30">
        <v>41.758645092409438</v>
      </c>
      <c r="J44" s="30">
        <v>41.356482722620534</v>
      </c>
      <c r="K44" s="30">
        <v>39.965300093757307</v>
      </c>
      <c r="L44" s="30">
        <v>38.092482376814289</v>
      </c>
      <c r="M44" s="30">
        <v>31.412645664343945</v>
      </c>
      <c r="N44" s="30">
        <v>27.404742032669887</v>
      </c>
      <c r="O44" s="30">
        <v>15.652711133250031</v>
      </c>
      <c r="P44" s="36">
        <v>-0.31464281583730452</v>
      </c>
      <c r="AF44" s="47"/>
      <c r="AG44" s="37" t="s">
        <v>861</v>
      </c>
      <c r="AH44" s="35">
        <v>25.687992045776525</v>
      </c>
      <c r="AI44" s="30">
        <v>31.045075406069998</v>
      </c>
      <c r="AJ44" s="30">
        <v>34.878515714819962</v>
      </c>
      <c r="AK44" s="30">
        <v>37.807418355542318</v>
      </c>
      <c r="AL44" s="30">
        <v>40.080388132584531</v>
      </c>
      <c r="AM44" s="30">
        <v>41.548457951676205</v>
      </c>
      <c r="AN44" s="30" t="e">
        <v>#N/A</v>
      </c>
      <c r="AO44" s="30">
        <v>40.568915465185476</v>
      </c>
      <c r="AP44" s="30" t="e">
        <v>#N/A</v>
      </c>
      <c r="AQ44" s="30">
        <v>32.200299943068529</v>
      </c>
      <c r="AR44" s="30" t="e">
        <v>#N/A</v>
      </c>
      <c r="AS44" s="30">
        <v>14.943341086312191</v>
      </c>
      <c r="AT44" s="36">
        <v>0</v>
      </c>
    </row>
    <row r="45" spans="2:46" x14ac:dyDescent="0.35">
      <c r="B45" s="47"/>
      <c r="C45" s="37" t="s">
        <v>862</v>
      </c>
      <c r="D45" s="35">
        <v>39.842818386027787</v>
      </c>
      <c r="E45" s="30">
        <v>39.842818350247306</v>
      </c>
      <c r="F45" s="30">
        <v>39.842817254113058</v>
      </c>
      <c r="G45" s="30">
        <v>39.842782519169091</v>
      </c>
      <c r="H45" s="30">
        <v>39.841670462145018</v>
      </c>
      <c r="I45" s="30">
        <v>39.804649737810571</v>
      </c>
      <c r="J45" s="30">
        <v>39.514480152343197</v>
      </c>
      <c r="K45" s="30">
        <v>38.417927281203298</v>
      </c>
      <c r="L45" s="30">
        <v>36.854432456814664</v>
      </c>
      <c r="M45" s="30">
        <v>30.899643734793443</v>
      </c>
      <c r="N45" s="30">
        <v>27.148656846928123</v>
      </c>
      <c r="O45" s="30">
        <v>15.678417934979104</v>
      </c>
      <c r="P45" s="36">
        <v>-0.4944106539386624</v>
      </c>
      <c r="AF45" s="47"/>
      <c r="AG45" s="37" t="s">
        <v>862</v>
      </c>
      <c r="AH45" s="35">
        <v>25.188891390345177</v>
      </c>
      <c r="AI45" s="30">
        <v>32.068662326203722</v>
      </c>
      <c r="AJ45" s="30">
        <v>36.527440185060719</v>
      </c>
      <c r="AK45" s="30">
        <v>41.003628141611742</v>
      </c>
      <c r="AL45" s="30">
        <v>44.305819687381792</v>
      </c>
      <c r="AM45" s="30">
        <v>46.7949915668637</v>
      </c>
      <c r="AN45" s="30" t="e">
        <v>#N/A</v>
      </c>
      <c r="AO45" s="30">
        <v>43.630572758534541</v>
      </c>
      <c r="AP45" s="30" t="e">
        <v>#N/A</v>
      </c>
      <c r="AQ45" s="30">
        <v>31.004927375083952</v>
      </c>
      <c r="AR45" s="30" t="e">
        <v>#N/A</v>
      </c>
      <c r="AS45" s="30">
        <v>14.326877339483442</v>
      </c>
      <c r="AT45" s="36">
        <v>0</v>
      </c>
    </row>
    <row r="46" spans="2:46" x14ac:dyDescent="0.35">
      <c r="B46" s="47"/>
      <c r="C46" s="37" t="s">
        <v>863</v>
      </c>
      <c r="D46" s="35">
        <v>46.600866238587948</v>
      </c>
      <c r="E46" s="30">
        <v>46.600866031785863</v>
      </c>
      <c r="F46" s="30">
        <v>46.600861013024634</v>
      </c>
      <c r="G46" s="30">
        <v>46.600732781997884</v>
      </c>
      <c r="H46" s="30">
        <v>46.59737509065846</v>
      </c>
      <c r="I46" s="30">
        <v>46.50541668723536</v>
      </c>
      <c r="J46" s="30">
        <v>45.886465470017548</v>
      </c>
      <c r="K46" s="30">
        <v>43.864705367786918</v>
      </c>
      <c r="L46" s="30">
        <v>41.303969056630969</v>
      </c>
      <c r="M46" s="30">
        <v>32.970345659882966</v>
      </c>
      <c r="N46" s="30">
        <v>28.349494440627197</v>
      </c>
      <c r="O46" s="30">
        <v>15.745031874052904</v>
      </c>
      <c r="P46" s="36">
        <v>-0.28186245114124631</v>
      </c>
      <c r="AF46" s="47"/>
      <c r="AG46" s="37" t="s">
        <v>863</v>
      </c>
      <c r="AH46" s="35">
        <v>13.423710375025365</v>
      </c>
      <c r="AI46" s="30">
        <v>19.6315434552608</v>
      </c>
      <c r="AJ46" s="30">
        <v>25.607914016948673</v>
      </c>
      <c r="AK46" s="30">
        <v>29.701572708042324</v>
      </c>
      <c r="AL46" s="30">
        <v>33.164468647541305</v>
      </c>
      <c r="AM46" s="30">
        <v>34.832490837112054</v>
      </c>
      <c r="AN46" s="30" t="e">
        <v>#N/A</v>
      </c>
      <c r="AO46" s="30">
        <v>32.544970003334981</v>
      </c>
      <c r="AP46" s="30" t="e">
        <v>#N/A</v>
      </c>
      <c r="AQ46" s="30">
        <v>25.986467784906438</v>
      </c>
      <c r="AR46" s="30" t="e">
        <v>#N/A</v>
      </c>
      <c r="AS46" s="30">
        <v>13.699406538031441</v>
      </c>
      <c r="AT46" s="36">
        <v>0</v>
      </c>
    </row>
    <row r="47" spans="2:46" x14ac:dyDescent="0.35">
      <c r="B47" s="47"/>
      <c r="C47" s="37" t="s">
        <v>864</v>
      </c>
      <c r="D47" s="35">
        <v>41.381915205241803</v>
      </c>
      <c r="E47" s="30">
        <v>41.381914754518249</v>
      </c>
      <c r="F47" s="30">
        <v>41.381905706848592</v>
      </c>
      <c r="G47" s="30">
        <v>41.381711071096376</v>
      </c>
      <c r="H47" s="30">
        <v>41.377403985350263</v>
      </c>
      <c r="I47" s="30">
        <v>41.278535296957209</v>
      </c>
      <c r="J47" s="30">
        <v>40.692213006497859</v>
      </c>
      <c r="K47" s="30">
        <v>38.937721903487258</v>
      </c>
      <c r="L47" s="30">
        <v>36.812495996992126</v>
      </c>
      <c r="M47" s="30">
        <v>30.000459353794646</v>
      </c>
      <c r="N47" s="30">
        <v>26.146642543160155</v>
      </c>
      <c r="O47" s="30">
        <v>15.051219507739626</v>
      </c>
      <c r="P47" s="36">
        <v>-0.17359132794473714</v>
      </c>
      <c r="AF47" s="47"/>
      <c r="AG47" s="37" t="s">
        <v>864</v>
      </c>
      <c r="AH47" s="35">
        <v>19.278103311643349</v>
      </c>
      <c r="AI47" s="30">
        <v>29.718453083743562</v>
      </c>
      <c r="AJ47" s="30">
        <v>34.934211333859629</v>
      </c>
      <c r="AK47" s="30">
        <v>38.005133103223116</v>
      </c>
      <c r="AL47" s="30">
        <v>40.04655051520448</v>
      </c>
      <c r="AM47" s="30">
        <v>41.184016751900849</v>
      </c>
      <c r="AN47" s="30">
        <v>48.598684969549943</v>
      </c>
      <c r="AO47" s="30">
        <v>36.769549961151228</v>
      </c>
      <c r="AP47" s="30">
        <v>41.788966401999858</v>
      </c>
      <c r="AQ47" s="30">
        <v>28.614360451365602</v>
      </c>
      <c r="AR47" s="30">
        <v>27.613053081878181</v>
      </c>
      <c r="AS47" s="30">
        <v>14.161990334909662</v>
      </c>
      <c r="AT47" s="36">
        <v>0</v>
      </c>
    </row>
    <row r="48" spans="2:46" x14ac:dyDescent="0.35">
      <c r="B48" s="47"/>
      <c r="C48" s="37" t="s">
        <v>865</v>
      </c>
      <c r="D48" s="35">
        <v>40.3067091217262</v>
      </c>
      <c r="E48" s="30">
        <v>40.306709026894211</v>
      </c>
      <c r="F48" s="30">
        <v>40.306706795610602</v>
      </c>
      <c r="G48" s="30">
        <v>40.30665020880366</v>
      </c>
      <c r="H48" s="30">
        <v>40.305122267176998</v>
      </c>
      <c r="I48" s="30">
        <v>40.258957858704491</v>
      </c>
      <c r="J48" s="30">
        <v>39.908482650348454</v>
      </c>
      <c r="K48" s="30">
        <v>38.617833871659677</v>
      </c>
      <c r="L48" s="30">
        <v>36.827374435259337</v>
      </c>
      <c r="M48" s="30">
        <v>30.332191884047209</v>
      </c>
      <c r="N48" s="30">
        <v>26.426319631509124</v>
      </c>
      <c r="O48" s="30">
        <v>15.046383701239979</v>
      </c>
      <c r="P48" s="36">
        <v>-0.26252420390609882</v>
      </c>
      <c r="AF48" s="47"/>
      <c r="AG48" s="37" t="s">
        <v>865</v>
      </c>
      <c r="AH48" s="35">
        <v>20.867261688267018</v>
      </c>
      <c r="AI48" s="30">
        <v>28.150859435144078</v>
      </c>
      <c r="AJ48" s="30">
        <v>32.11461828505464</v>
      </c>
      <c r="AK48" s="30">
        <v>35.09092537493347</v>
      </c>
      <c r="AL48" s="30">
        <v>37.293804828862193</v>
      </c>
      <c r="AM48" s="30">
        <v>38.797917158796437</v>
      </c>
      <c r="AN48" s="30" t="e">
        <v>#N/A</v>
      </c>
      <c r="AO48" s="30">
        <v>36.946263269209986</v>
      </c>
      <c r="AP48" s="30" t="e">
        <v>#N/A</v>
      </c>
      <c r="AQ48" s="30">
        <v>29.354915374272853</v>
      </c>
      <c r="AR48" s="30" t="e">
        <v>#N/A</v>
      </c>
      <c r="AS48" s="30">
        <v>14.384759835024539</v>
      </c>
      <c r="AT48" s="36">
        <v>0</v>
      </c>
    </row>
    <row r="49" spans="2:46" x14ac:dyDescent="0.35">
      <c r="B49" s="47"/>
      <c r="C49" s="37" t="s">
        <v>866</v>
      </c>
      <c r="D49" s="35">
        <v>46.732982171358444</v>
      </c>
      <c r="E49" s="30">
        <v>46.732863714029904</v>
      </c>
      <c r="F49" s="30">
        <v>46.731935245268545</v>
      </c>
      <c r="G49" s="30">
        <v>46.723657565374069</v>
      </c>
      <c r="H49" s="30">
        <v>46.64806554574637</v>
      </c>
      <c r="I49" s="30">
        <v>45.941909537190142</v>
      </c>
      <c r="J49" s="30">
        <v>43.730092129854782</v>
      </c>
      <c r="K49" s="30">
        <v>39.614176662459784</v>
      </c>
      <c r="L49" s="30">
        <v>35.976407831472812</v>
      </c>
      <c r="M49" s="30">
        <v>27.483825594765484</v>
      </c>
      <c r="N49" s="30">
        <v>23.602156762598007</v>
      </c>
      <c r="O49" s="30">
        <v>13.584112299012054</v>
      </c>
      <c r="P49" s="36">
        <v>2.022622626839843E-3</v>
      </c>
      <c r="AF49" s="47"/>
      <c r="AG49" s="37" t="s">
        <v>866</v>
      </c>
      <c r="AH49" s="35">
        <v>20.018215494670226</v>
      </c>
      <c r="AI49" s="30">
        <v>30.781406726240579</v>
      </c>
      <c r="AJ49" s="30">
        <v>34.349150015133233</v>
      </c>
      <c r="AK49" s="30">
        <v>38.775154152162919</v>
      </c>
      <c r="AL49" s="30">
        <v>41.851176776009673</v>
      </c>
      <c r="AM49" s="30">
        <v>41.789209871348035</v>
      </c>
      <c r="AN49" s="30" t="e">
        <v>#N/A</v>
      </c>
      <c r="AO49" s="30">
        <v>36.18042284914268</v>
      </c>
      <c r="AP49" s="30" t="e">
        <v>#N/A</v>
      </c>
      <c r="AQ49" s="30">
        <v>25.366796964215112</v>
      </c>
      <c r="AR49" s="30" t="e">
        <v>#N/A</v>
      </c>
      <c r="AS49" s="30">
        <v>13.194596102053655</v>
      </c>
      <c r="AT49" s="36">
        <v>0</v>
      </c>
    </row>
    <row r="50" spans="2:46" x14ac:dyDescent="0.35">
      <c r="B50" s="47"/>
      <c r="C50" s="37" t="s">
        <v>867</v>
      </c>
      <c r="D50" s="35">
        <v>45.08671676768131</v>
      </c>
      <c r="E50" s="30">
        <v>45.086712504362374</v>
      </c>
      <c r="F50" s="30">
        <v>45.086661471610675</v>
      </c>
      <c r="G50" s="30">
        <v>45.085993656864161</v>
      </c>
      <c r="H50" s="30">
        <v>45.07688546513868</v>
      </c>
      <c r="I50" s="30">
        <v>44.938266098924416</v>
      </c>
      <c r="J50" s="30">
        <v>44.252933840805035</v>
      </c>
      <c r="K50" s="30">
        <v>42.31392883355678</v>
      </c>
      <c r="L50" s="30">
        <v>39.973925799647283</v>
      </c>
      <c r="M50" s="30">
        <v>32.379874439227422</v>
      </c>
      <c r="N50" s="30">
        <v>28.064022329201418</v>
      </c>
      <c r="O50" s="30">
        <v>15.797419032536734</v>
      </c>
      <c r="P50" s="36">
        <v>-0.5703022687028293</v>
      </c>
      <c r="AF50" s="47"/>
      <c r="AG50" s="37" t="s">
        <v>867</v>
      </c>
      <c r="AH50" s="35">
        <v>20.01860781573421</v>
      </c>
      <c r="AI50" s="30">
        <v>29.285684519222727</v>
      </c>
      <c r="AJ50" s="30">
        <v>35.68276879546238</v>
      </c>
      <c r="AK50" s="30">
        <v>39.868283182847946</v>
      </c>
      <c r="AL50" s="30">
        <v>43.012767459767211</v>
      </c>
      <c r="AM50" s="30">
        <v>45.69656333499718</v>
      </c>
      <c r="AN50" s="30">
        <v>52.266791197998799</v>
      </c>
      <c r="AO50" s="30">
        <v>39.683999297109224</v>
      </c>
      <c r="AP50" s="30">
        <v>45.495909466783587</v>
      </c>
      <c r="AQ50" s="30">
        <v>31.841281249979147</v>
      </c>
      <c r="AR50" s="30">
        <v>28.246867299440368</v>
      </c>
      <c r="AS50" s="30">
        <v>14.827207307509127</v>
      </c>
      <c r="AT50" s="36">
        <v>0</v>
      </c>
    </row>
    <row r="51" spans="2:46" x14ac:dyDescent="0.35">
      <c r="B51" s="48"/>
      <c r="C51" s="38" t="s">
        <v>868</v>
      </c>
      <c r="D51" s="39">
        <v>27.257423417330575</v>
      </c>
      <c r="E51" s="40">
        <v>27.257423417329839</v>
      </c>
      <c r="F51" s="40">
        <v>27.257423417198645</v>
      </c>
      <c r="G51" s="40">
        <v>27.257423392908787</v>
      </c>
      <c r="H51" s="40">
        <v>27.257418732623741</v>
      </c>
      <c r="I51" s="40">
        <v>27.256476997753701</v>
      </c>
      <c r="J51" s="40">
        <v>27.23371608938325</v>
      </c>
      <c r="K51" s="40">
        <v>27.050610174053922</v>
      </c>
      <c r="L51" s="40">
        <v>26.644810108197049</v>
      </c>
      <c r="M51" s="40">
        <v>24.197528498632092</v>
      </c>
      <c r="N51" s="40">
        <v>22.130495363986686</v>
      </c>
      <c r="O51" s="40">
        <v>14.020831401001439</v>
      </c>
      <c r="P51" s="41">
        <v>-0.17939173610306186</v>
      </c>
      <c r="AF51" s="48"/>
      <c r="AG51" s="38" t="s">
        <v>868</v>
      </c>
      <c r="AH51" s="39">
        <v>13.225038377870131</v>
      </c>
      <c r="AI51" s="40">
        <v>20.140419302182142</v>
      </c>
      <c r="AJ51" s="40">
        <v>23.527996031127</v>
      </c>
      <c r="AK51" s="40">
        <v>25.108925719161032</v>
      </c>
      <c r="AL51" s="40">
        <v>27.178735538751635</v>
      </c>
      <c r="AM51" s="40">
        <v>29.086443274299789</v>
      </c>
      <c r="AN51" s="40" t="e">
        <v>#N/A</v>
      </c>
      <c r="AO51" s="40">
        <v>29.891436775945195</v>
      </c>
      <c r="AP51" s="40" t="e">
        <v>#N/A</v>
      </c>
      <c r="AQ51" s="40">
        <v>25.26934632214369</v>
      </c>
      <c r="AR51" s="40" t="e">
        <v>#N/A</v>
      </c>
      <c r="AS51" s="40">
        <v>13.507040520228511</v>
      </c>
      <c r="AT51" s="41">
        <v>0</v>
      </c>
    </row>
    <row r="52" spans="2:46" ht="15" customHeight="1" x14ac:dyDescent="0.35">
      <c r="B52" s="46" t="s">
        <v>873</v>
      </c>
      <c r="C52" s="30" t="s">
        <v>16</v>
      </c>
      <c r="D52" s="35">
        <v>14.509794449443712</v>
      </c>
      <c r="E52" s="30">
        <v>14.509793621573889</v>
      </c>
      <c r="F52" s="30">
        <v>14.509779772234468</v>
      </c>
      <c r="G52" s="30">
        <v>14.509528133788894</v>
      </c>
      <c r="H52" s="30">
        <v>14.504787322551906</v>
      </c>
      <c r="I52" s="30">
        <v>14.411616220900429</v>
      </c>
      <c r="J52" s="30">
        <v>13.918600333260803</v>
      </c>
      <c r="K52" s="30">
        <v>12.588216412487721</v>
      </c>
      <c r="L52" s="30">
        <v>11.113927286587071</v>
      </c>
      <c r="M52" s="30">
        <v>7.0563031307335216</v>
      </c>
      <c r="N52" s="30">
        <v>5.1790510103576466</v>
      </c>
      <c r="O52" s="30">
        <v>1.5173078369041391</v>
      </c>
      <c r="P52" s="36">
        <v>0.44207165225010109</v>
      </c>
      <c r="AF52" s="47" t="s">
        <v>874</v>
      </c>
      <c r="AG52" s="30" t="s">
        <v>16</v>
      </c>
      <c r="AH52" s="35">
        <v>8.3630336899955591</v>
      </c>
      <c r="AI52" s="30">
        <v>8.7690194977168137</v>
      </c>
      <c r="AJ52" s="30">
        <v>9.0893226864923253</v>
      </c>
      <c r="AK52" s="30">
        <v>8.7817597368820053</v>
      </c>
      <c r="AL52" s="30">
        <v>8.6381238770018225</v>
      </c>
      <c r="AM52" s="30">
        <v>7.9505028130551922</v>
      </c>
      <c r="AN52" s="30" t="e">
        <v>#N/A</v>
      </c>
      <c r="AO52" s="30">
        <v>7.0262659851781732</v>
      </c>
      <c r="AP52" s="30" t="e">
        <v>#N/A</v>
      </c>
      <c r="AQ52" s="30">
        <v>2.6077605071143775</v>
      </c>
      <c r="AR52" s="30" t="e">
        <v>#N/A</v>
      </c>
      <c r="AS52" s="30">
        <v>0.65167353081614898</v>
      </c>
      <c r="AT52" s="36">
        <v>0</v>
      </c>
    </row>
    <row r="53" spans="2:46" x14ac:dyDescent="0.35">
      <c r="B53" s="47"/>
      <c r="C53" s="30" t="s">
        <v>44</v>
      </c>
      <c r="D53" s="35">
        <v>4.7955830535534787</v>
      </c>
      <c r="E53" s="30">
        <v>4.795583052336803</v>
      </c>
      <c r="F53" s="30">
        <v>4.7955829890333179</v>
      </c>
      <c r="G53" s="30">
        <v>4.7955796214584563</v>
      </c>
      <c r="H53" s="30">
        <v>4.7954006274546384</v>
      </c>
      <c r="I53" s="30">
        <v>4.7860843042959473</v>
      </c>
      <c r="J53" s="30">
        <v>4.6980235160979014</v>
      </c>
      <c r="K53" s="30">
        <v>4.3612737753447464</v>
      </c>
      <c r="L53" s="30">
        <v>3.9198286257508657</v>
      </c>
      <c r="M53" s="30">
        <v>2.602074669399602</v>
      </c>
      <c r="N53" s="30">
        <v>1.9959985073855915</v>
      </c>
      <c r="O53" s="30">
        <v>0.8093365319835828</v>
      </c>
      <c r="P53" s="36">
        <v>0.28802816760906563</v>
      </c>
      <c r="AF53" s="47"/>
      <c r="AG53" s="30" t="s">
        <v>44</v>
      </c>
      <c r="AH53" s="35">
        <v>2.5461707577313346</v>
      </c>
      <c r="AI53" s="30">
        <v>3.3803857991349626</v>
      </c>
      <c r="AJ53" s="30">
        <v>3.7446194408182594</v>
      </c>
      <c r="AK53" s="30">
        <v>3.9363882651750965</v>
      </c>
      <c r="AL53" s="30">
        <v>3.8481843193024496</v>
      </c>
      <c r="AM53" s="30">
        <v>4.3006342704608542</v>
      </c>
      <c r="AN53" s="30">
        <v>1.2829049999999995</v>
      </c>
      <c r="AO53" s="30">
        <v>4.5945766261968792</v>
      </c>
      <c r="AP53" s="30">
        <v>0.6442300000000003</v>
      </c>
      <c r="AQ53" s="30">
        <v>2.9670206446979401</v>
      </c>
      <c r="AR53" s="30">
        <v>0.23413000000000039</v>
      </c>
      <c r="AS53" s="30">
        <v>0.57975793797268504</v>
      </c>
      <c r="AT53" s="36">
        <v>0</v>
      </c>
    </row>
    <row r="54" spans="2:46" x14ac:dyDescent="0.35">
      <c r="B54" s="47"/>
      <c r="C54" s="30" t="s">
        <v>69</v>
      </c>
      <c r="D54" s="35">
        <v>17.013839429008559</v>
      </c>
      <c r="E54" s="30">
        <v>17.04113161084943</v>
      </c>
      <c r="F54" s="30">
        <v>17.03274516900343</v>
      </c>
      <c r="G54" s="30">
        <v>16.987104711821644</v>
      </c>
      <c r="H54" s="30">
        <v>16.737181389424165</v>
      </c>
      <c r="I54" s="30">
        <v>15.394067616217535</v>
      </c>
      <c r="J54" s="30">
        <v>12.71610993238542</v>
      </c>
      <c r="K54" s="30">
        <v>9.3183612462821923</v>
      </c>
      <c r="L54" s="30">
        <v>7.1404708156826961</v>
      </c>
      <c r="M54" s="30">
        <v>3.9472888638330197</v>
      </c>
      <c r="N54" s="30">
        <v>3.0918256682812388</v>
      </c>
      <c r="O54" s="30">
        <v>1.5950458211409853</v>
      </c>
      <c r="P54" s="36">
        <v>0.22915522587615073</v>
      </c>
      <c r="AF54" s="47"/>
      <c r="AG54" s="30" t="s">
        <v>69</v>
      </c>
      <c r="AH54" s="35">
        <v>7.3571092196377021</v>
      </c>
      <c r="AI54" s="30">
        <v>11.692515851739358</v>
      </c>
      <c r="AJ54" s="30">
        <v>15.519361105598531</v>
      </c>
      <c r="AK54" s="30">
        <v>16.429030794035885</v>
      </c>
      <c r="AL54" s="30">
        <v>16.51763439942096</v>
      </c>
      <c r="AM54" s="30">
        <v>15.246242653262685</v>
      </c>
      <c r="AN54" s="30" t="e">
        <v>#N/A</v>
      </c>
      <c r="AO54" s="30">
        <v>8.1936542416087406</v>
      </c>
      <c r="AP54" s="30" t="e">
        <v>#N/A</v>
      </c>
      <c r="AQ54" s="30">
        <v>2.8626235951860561</v>
      </c>
      <c r="AR54" s="30" t="e">
        <v>#N/A</v>
      </c>
      <c r="AS54" s="30">
        <v>0.84889509832186272</v>
      </c>
      <c r="AT54" s="36">
        <v>0</v>
      </c>
    </row>
    <row r="55" spans="2:46" x14ac:dyDescent="0.35">
      <c r="B55" s="47"/>
      <c r="C55" s="30" t="s">
        <v>94</v>
      </c>
      <c r="D55" s="35">
        <v>5.9809547971068797</v>
      </c>
      <c r="E55" s="30">
        <v>5.9809547970696242</v>
      </c>
      <c r="F55" s="30">
        <v>5.9809547934011862</v>
      </c>
      <c r="G55" s="30">
        <v>5.9809544294308967</v>
      </c>
      <c r="H55" s="30">
        <v>5.9809185596501182</v>
      </c>
      <c r="I55" s="30">
        <v>5.9774749944956715</v>
      </c>
      <c r="J55" s="30">
        <v>5.9293132372990769</v>
      </c>
      <c r="K55" s="30">
        <v>5.6847831595478482</v>
      </c>
      <c r="L55" s="30">
        <v>5.2981054581259865</v>
      </c>
      <c r="M55" s="30">
        <v>3.8576338581077789</v>
      </c>
      <c r="N55" s="30">
        <v>3.062696556569001</v>
      </c>
      <c r="O55" s="30">
        <v>1.2561988028518858</v>
      </c>
      <c r="P55" s="36">
        <v>0.18558619795635961</v>
      </c>
      <c r="AF55" s="47"/>
      <c r="AG55" s="30" t="s">
        <v>94</v>
      </c>
      <c r="AH55" s="35">
        <v>1.0076007945541114</v>
      </c>
      <c r="AI55" s="30">
        <v>4.4044055008547156</v>
      </c>
      <c r="AJ55" s="30">
        <v>5.5946193957903017</v>
      </c>
      <c r="AK55" s="30">
        <v>5.7330033207412212</v>
      </c>
      <c r="AL55" s="30">
        <v>5.8164065487661949</v>
      </c>
      <c r="AM55" s="30">
        <v>5.9426014481907563</v>
      </c>
      <c r="AN55" s="30" t="e">
        <v>#N/A</v>
      </c>
      <c r="AO55" s="30">
        <v>5.7833490195648549</v>
      </c>
      <c r="AP55" s="30" t="e">
        <v>#N/A</v>
      </c>
      <c r="AQ55" s="30">
        <v>4.223205786724165</v>
      </c>
      <c r="AR55" s="30" t="e">
        <v>#N/A</v>
      </c>
      <c r="AS55" s="30">
        <v>0.80597747635207817</v>
      </c>
      <c r="AT55" s="36">
        <v>0</v>
      </c>
    </row>
    <row r="56" spans="2:46" x14ac:dyDescent="0.35">
      <c r="B56" s="47"/>
      <c r="C56" s="30" t="s">
        <v>119</v>
      </c>
      <c r="D56" s="35">
        <v>6.9248897702038485</v>
      </c>
      <c r="E56" s="30">
        <v>6.9248897700954224</v>
      </c>
      <c r="F56" s="30">
        <v>6.924889762623204</v>
      </c>
      <c r="G56" s="30">
        <v>6.9248892292125035</v>
      </c>
      <c r="H56" s="30">
        <v>6.924849643734599</v>
      </c>
      <c r="I56" s="30">
        <v>6.9216998208790796</v>
      </c>
      <c r="J56" s="30">
        <v>6.8788836378100395</v>
      </c>
      <c r="K56" s="30">
        <v>6.6517981847207732</v>
      </c>
      <c r="L56" s="30">
        <v>6.2705286609041977</v>
      </c>
      <c r="M56" s="30">
        <v>4.6860234945661423</v>
      </c>
      <c r="N56" s="30">
        <v>3.7166142100272164</v>
      </c>
      <c r="O56" s="30">
        <v>1.4401361972041196</v>
      </c>
      <c r="P56" s="36">
        <v>0.19046277833202119</v>
      </c>
      <c r="AF56" s="47"/>
      <c r="AG56" s="30" t="s">
        <v>119</v>
      </c>
      <c r="AH56" s="35">
        <v>6.4120415433726006</v>
      </c>
      <c r="AI56" s="30">
        <v>6.4842615293339145</v>
      </c>
      <c r="AJ56" s="30">
        <v>6.5580370772941832</v>
      </c>
      <c r="AK56" s="30">
        <v>7.0597112398695456</v>
      </c>
      <c r="AL56" s="30">
        <v>7.2620468188270566</v>
      </c>
      <c r="AM56" s="30">
        <v>7.1880451692866902</v>
      </c>
      <c r="AN56" s="30" t="e">
        <v>#N/A</v>
      </c>
      <c r="AO56" s="30">
        <v>6.0919093682074781</v>
      </c>
      <c r="AP56" s="30" t="e">
        <v>#N/A</v>
      </c>
      <c r="AQ56" s="30">
        <v>4.0009029526488717</v>
      </c>
      <c r="AR56" s="30" t="e">
        <v>#DIV/0!</v>
      </c>
      <c r="AS56" s="30">
        <v>1.0771030084669322</v>
      </c>
      <c r="AT56" s="36">
        <v>0</v>
      </c>
    </row>
    <row r="57" spans="2:46" x14ac:dyDescent="0.35">
      <c r="B57" s="47"/>
      <c r="C57" s="30" t="s">
        <v>144</v>
      </c>
      <c r="D57" s="35">
        <v>17.256248992979902</v>
      </c>
      <c r="E57" s="30">
        <v>17.256245688967962</v>
      </c>
      <c r="F57" s="30">
        <v>17.256199188505256</v>
      </c>
      <c r="G57" s="30">
        <v>17.255494376894251</v>
      </c>
      <c r="H57" s="30">
        <v>17.244670111967057</v>
      </c>
      <c r="I57" s="30">
        <v>17.07640379001305</v>
      </c>
      <c r="J57" s="30">
        <v>16.3357530808685</v>
      </c>
      <c r="K57" s="30">
        <v>14.620038443822279</v>
      </c>
      <c r="L57" s="30">
        <v>12.910069535837515</v>
      </c>
      <c r="M57" s="30">
        <v>8.5738341247158516</v>
      </c>
      <c r="N57" s="30">
        <v>6.5682679426737458</v>
      </c>
      <c r="O57" s="30">
        <v>2.1575042835009381</v>
      </c>
      <c r="P57" s="36">
        <v>0.42116815158115045</v>
      </c>
      <c r="AF57" s="47"/>
      <c r="AG57" s="30" t="s">
        <v>144</v>
      </c>
      <c r="AH57" s="35">
        <v>6.9259372115421165</v>
      </c>
      <c r="AI57" s="30">
        <v>9.0670835016112115</v>
      </c>
      <c r="AJ57" s="30">
        <v>10.035642532578811</v>
      </c>
      <c r="AK57" s="30">
        <v>9.8015770822881247</v>
      </c>
      <c r="AL57" s="30">
        <v>9.5902952228772858</v>
      </c>
      <c r="AM57" s="30">
        <v>9.3007600594405773</v>
      </c>
      <c r="AN57" s="30" t="e">
        <v>#N/A</v>
      </c>
      <c r="AO57" s="30">
        <v>7.3375190905498116</v>
      </c>
      <c r="AP57" s="30" t="e">
        <v>#N/A</v>
      </c>
      <c r="AQ57" s="30">
        <v>2.3003847961786579</v>
      </c>
      <c r="AR57" s="30" t="e">
        <v>#N/A</v>
      </c>
      <c r="AS57" s="30">
        <v>0.39743051669956175</v>
      </c>
      <c r="AT57" s="36">
        <v>0</v>
      </c>
    </row>
    <row r="58" spans="2:46" x14ac:dyDescent="0.35">
      <c r="B58" s="47"/>
      <c r="C58" s="30" t="s">
        <v>169</v>
      </c>
      <c r="D58" s="35">
        <v>6.3332929301765413</v>
      </c>
      <c r="E58" s="30">
        <v>6.3332927372497672</v>
      </c>
      <c r="F58" s="30">
        <v>6.333288500773171</v>
      </c>
      <c r="G58" s="30">
        <v>6.3331890270723035</v>
      </c>
      <c r="H58" s="30">
        <v>6.3307955930961839</v>
      </c>
      <c r="I58" s="30">
        <v>6.2728247987642165</v>
      </c>
      <c r="J58" s="30">
        <v>5.9398874131345023</v>
      </c>
      <c r="K58" s="30">
        <v>5.0664591657554725</v>
      </c>
      <c r="L58" s="30">
        <v>4.198407293255042</v>
      </c>
      <c r="M58" s="30">
        <v>2.4272509359541474</v>
      </c>
      <c r="N58" s="30">
        <v>1.8941770125688817</v>
      </c>
      <c r="O58" s="30">
        <v>0.98394314598419608</v>
      </c>
      <c r="P58" s="36">
        <v>0.40159427220768151</v>
      </c>
      <c r="AF58" s="47"/>
      <c r="AG58" s="30" t="s">
        <v>169</v>
      </c>
      <c r="AH58" s="35">
        <v>7.3399146724557056</v>
      </c>
      <c r="AI58" s="30">
        <v>7.7439587884472765</v>
      </c>
      <c r="AJ58" s="30">
        <v>7.1996477189080395</v>
      </c>
      <c r="AK58" s="30">
        <v>6.7144416728023879</v>
      </c>
      <c r="AL58" s="30">
        <v>6.0045312268976492</v>
      </c>
      <c r="AM58" s="30">
        <v>5.1954979811882476</v>
      </c>
      <c r="AN58" s="30" t="e">
        <v>#N/A</v>
      </c>
      <c r="AO58" s="30">
        <v>4.4917038758685575</v>
      </c>
      <c r="AP58" s="30" t="e">
        <v>#N/A</v>
      </c>
      <c r="AQ58" s="30">
        <v>2.1845769698156889</v>
      </c>
      <c r="AR58" s="30" t="e">
        <v>#N/A</v>
      </c>
      <c r="AS58" s="30">
        <v>0.28613163641907591</v>
      </c>
      <c r="AT58" s="36">
        <v>0</v>
      </c>
    </row>
    <row r="59" spans="2:46" x14ac:dyDescent="0.35">
      <c r="B59" s="47"/>
      <c r="C59" s="30" t="s">
        <v>194</v>
      </c>
      <c r="D59" s="35">
        <v>8.3889591480439787</v>
      </c>
      <c r="E59" s="30">
        <v>8.3889591101310561</v>
      </c>
      <c r="F59" s="30">
        <v>8.3889579502396234</v>
      </c>
      <c r="G59" s="30">
        <v>8.388921382588336</v>
      </c>
      <c r="H59" s="30">
        <v>8.3877737231924687</v>
      </c>
      <c r="I59" s="30">
        <v>8.3524639686134101</v>
      </c>
      <c r="J59" s="30">
        <v>8.1144945610009103</v>
      </c>
      <c r="K59" s="30">
        <v>7.3971148419383042</v>
      </c>
      <c r="L59" s="30">
        <v>6.5895632505784167</v>
      </c>
      <c r="M59" s="30">
        <v>4.5147538481946334</v>
      </c>
      <c r="N59" s="30">
        <v>3.6351013589986123</v>
      </c>
      <c r="O59" s="30">
        <v>1.8031372733846587</v>
      </c>
      <c r="P59" s="36">
        <v>0.28575659026395328</v>
      </c>
      <c r="AF59" s="47"/>
      <c r="AG59" s="30" t="s">
        <v>194</v>
      </c>
      <c r="AH59" s="35">
        <v>3.4947002940356358</v>
      </c>
      <c r="AI59" s="30">
        <v>7.5973676813506215</v>
      </c>
      <c r="AJ59" s="30">
        <v>10.515660975003478</v>
      </c>
      <c r="AK59" s="30">
        <v>12.418999310983102</v>
      </c>
      <c r="AL59" s="30">
        <v>13.957189955111795</v>
      </c>
      <c r="AM59" s="30">
        <v>14.857746522075832</v>
      </c>
      <c r="AN59" s="30" t="e">
        <v>#N/A</v>
      </c>
      <c r="AO59" s="30">
        <v>11.577810194006073</v>
      </c>
      <c r="AP59" s="30" t="e">
        <v>#N/A</v>
      </c>
      <c r="AQ59" s="30">
        <v>3.6717115346982059</v>
      </c>
      <c r="AR59" s="30" t="e">
        <v>#N/A</v>
      </c>
      <c r="AS59" s="30">
        <v>0.56346296098870308</v>
      </c>
      <c r="AT59" s="36">
        <v>0</v>
      </c>
    </row>
    <row r="60" spans="2:46" x14ac:dyDescent="0.35">
      <c r="B60" s="47"/>
      <c r="C60" s="30" t="s">
        <v>218</v>
      </c>
      <c r="D60" s="35">
        <v>2.7757810899685573</v>
      </c>
      <c r="E60" s="30">
        <v>2.775780887519737</v>
      </c>
      <c r="F60" s="30">
        <v>2.775776092044616</v>
      </c>
      <c r="G60" s="30">
        <v>2.7756595327842319</v>
      </c>
      <c r="H60" s="30">
        <v>2.7729119519547076</v>
      </c>
      <c r="I60" s="30">
        <v>2.7128340109943494</v>
      </c>
      <c r="J60" s="30">
        <v>2.4091860770651294</v>
      </c>
      <c r="K60" s="30">
        <v>1.7073300689052218</v>
      </c>
      <c r="L60" s="30">
        <v>1.0768035164293295</v>
      </c>
      <c r="M60" s="30">
        <v>5.9653367643630162E-2</v>
      </c>
      <c r="N60" s="30">
        <v>0.33409449457625406</v>
      </c>
      <c r="O60" s="30">
        <v>0.37061889825203131</v>
      </c>
      <c r="P60" s="36">
        <v>0.31124298297544079</v>
      </c>
      <c r="AF60" s="47"/>
      <c r="AG60" s="30" t="s">
        <v>218</v>
      </c>
      <c r="AH60" s="35">
        <v>3.475447943615007</v>
      </c>
      <c r="AI60" s="30">
        <v>6.5732338587836683</v>
      </c>
      <c r="AJ60" s="30">
        <v>10.049622636251719</v>
      </c>
      <c r="AK60" s="30">
        <v>13.816046033948323</v>
      </c>
      <c r="AL60" s="30">
        <v>15.203813282803582</v>
      </c>
      <c r="AM60" s="30">
        <v>15.686176831267392</v>
      </c>
      <c r="AN60" s="30" t="e">
        <v>#N/A</v>
      </c>
      <c r="AO60" s="30">
        <v>12.575233709779319</v>
      </c>
      <c r="AP60" s="30" t="e">
        <v>#N/A</v>
      </c>
      <c r="AQ60" s="30">
        <v>7.1064913722015008</v>
      </c>
      <c r="AR60" s="30" t="e">
        <v>#N/A</v>
      </c>
      <c r="AS60" s="30">
        <v>1.672358379328367</v>
      </c>
      <c r="AT60" s="36">
        <v>0</v>
      </c>
    </row>
    <row r="61" spans="2:46" x14ac:dyDescent="0.35">
      <c r="B61" s="47"/>
      <c r="C61" s="30" t="s">
        <v>243</v>
      </c>
      <c r="D61" s="35">
        <v>9.9946559591870106</v>
      </c>
      <c r="E61" s="30">
        <v>9.9946555064321672</v>
      </c>
      <c r="F61" s="30">
        <v>9.9946467984173122</v>
      </c>
      <c r="G61" s="30">
        <v>9.9944689648819693</v>
      </c>
      <c r="H61" s="30">
        <v>9.9907879907811417</v>
      </c>
      <c r="I61" s="30">
        <v>9.9136889256433118</v>
      </c>
      <c r="J61" s="30">
        <v>9.4978381844072981</v>
      </c>
      <c r="K61" s="30">
        <v>8.3949807450518712</v>
      </c>
      <c r="L61" s="30">
        <v>7.2314159702019811</v>
      </c>
      <c r="M61" s="30">
        <v>4.435277418547396</v>
      </c>
      <c r="N61" s="30">
        <v>3.3691860826515532</v>
      </c>
      <c r="O61" s="30">
        <v>1.5813802045601373</v>
      </c>
      <c r="P61" s="36">
        <v>0.1506728499371138</v>
      </c>
      <c r="AF61" s="47"/>
      <c r="AG61" s="30" t="s">
        <v>243</v>
      </c>
      <c r="AH61" s="35">
        <v>10.184012898471728</v>
      </c>
      <c r="AI61" s="30">
        <v>10.992294684481802</v>
      </c>
      <c r="AJ61" s="30">
        <v>12.011880923479826</v>
      </c>
      <c r="AK61" s="30">
        <v>11.5456759003616</v>
      </c>
      <c r="AL61" s="30">
        <v>11.178347037868201</v>
      </c>
      <c r="AM61" s="30">
        <v>10.437932531876534</v>
      </c>
      <c r="AN61" s="30">
        <v>0</v>
      </c>
      <c r="AO61" s="30">
        <v>8.099605495501697</v>
      </c>
      <c r="AP61" s="30">
        <v>0</v>
      </c>
      <c r="AQ61" s="30">
        <v>3.8694520858435348</v>
      </c>
      <c r="AR61" s="30">
        <v>0</v>
      </c>
      <c r="AS61" s="30">
        <v>0.78956879518956702</v>
      </c>
      <c r="AT61" s="36">
        <v>0</v>
      </c>
    </row>
    <row r="62" spans="2:46" x14ac:dyDescent="0.35">
      <c r="B62" s="47"/>
      <c r="C62" s="30" t="s">
        <v>268</v>
      </c>
      <c r="D62" s="35">
        <v>5.7113302198365297</v>
      </c>
      <c r="E62" s="30">
        <v>5.7113300302474652</v>
      </c>
      <c r="F62" s="30">
        <v>5.7113257454016741</v>
      </c>
      <c r="G62" s="30">
        <v>5.7112244752132062</v>
      </c>
      <c r="H62" s="30">
        <v>5.7088292911765564</v>
      </c>
      <c r="I62" s="30">
        <v>5.6532188676768502</v>
      </c>
      <c r="J62" s="30">
        <v>5.3455148062733038</v>
      </c>
      <c r="K62" s="30">
        <v>4.55470693347789</v>
      </c>
      <c r="L62" s="30">
        <v>3.7685214954205422</v>
      </c>
      <c r="M62" s="30">
        <v>2.0951866582446437</v>
      </c>
      <c r="N62" s="30">
        <v>1.5506700002640292</v>
      </c>
      <c r="O62" s="30">
        <v>0.75494931222906803</v>
      </c>
      <c r="P62" s="36">
        <v>7.3563145180792308E-2</v>
      </c>
      <c r="AF62" s="47"/>
      <c r="AG62" s="30" t="s">
        <v>268</v>
      </c>
      <c r="AH62" s="35">
        <v>4.7451574174449576</v>
      </c>
      <c r="AI62" s="30">
        <v>5.5292919886427816</v>
      </c>
      <c r="AJ62" s="30">
        <v>5.4015251812989664</v>
      </c>
      <c r="AK62" s="30">
        <v>5.4381178960525034</v>
      </c>
      <c r="AL62" s="30">
        <v>5.3737633114291254</v>
      </c>
      <c r="AM62" s="30">
        <v>5.0267841481525348</v>
      </c>
      <c r="AN62" s="30" t="e">
        <v>#N/A</v>
      </c>
      <c r="AO62" s="30">
        <v>4.0915681200955989</v>
      </c>
      <c r="AP62" s="30" t="e">
        <v>#N/A</v>
      </c>
      <c r="AQ62" s="30">
        <v>2.3045559138641574</v>
      </c>
      <c r="AR62" s="30" t="e">
        <v>#N/A</v>
      </c>
      <c r="AS62" s="30">
        <v>0.69486553681453023</v>
      </c>
      <c r="AT62" s="36">
        <v>0</v>
      </c>
    </row>
    <row r="63" spans="2:46" x14ac:dyDescent="0.35">
      <c r="B63" s="47"/>
      <c r="C63" s="30" t="s">
        <v>291</v>
      </c>
      <c r="D63" s="35">
        <v>27.732074355951973</v>
      </c>
      <c r="E63" s="30">
        <v>27.731954538597616</v>
      </c>
      <c r="F63" s="30">
        <v>27.731024777795863</v>
      </c>
      <c r="G63" s="30">
        <v>27.722834727975851</v>
      </c>
      <c r="H63" s="30">
        <v>27.64923950577397</v>
      </c>
      <c r="I63" s="30">
        <v>26.977775895396604</v>
      </c>
      <c r="J63" s="30">
        <v>24.922697092037684</v>
      </c>
      <c r="K63" s="30">
        <v>21.169491407471174</v>
      </c>
      <c r="L63" s="30">
        <v>17.90693236811839</v>
      </c>
      <c r="M63" s="30">
        <v>10.700489838086497</v>
      </c>
      <c r="N63" s="30">
        <v>7.8109418579726739</v>
      </c>
      <c r="O63" s="30">
        <v>2.5110430214506576</v>
      </c>
      <c r="P63" s="36">
        <v>0.43064841626394035</v>
      </c>
      <c r="AF63" s="47"/>
      <c r="AG63" s="30" t="s">
        <v>291</v>
      </c>
      <c r="AH63" s="35">
        <v>10.073400614422752</v>
      </c>
      <c r="AI63" s="30">
        <v>15.918335030545119</v>
      </c>
      <c r="AJ63" s="30">
        <v>19.506025995543901</v>
      </c>
      <c r="AK63" s="30">
        <v>23.327080526868631</v>
      </c>
      <c r="AL63" s="30">
        <v>24.914118509792804</v>
      </c>
      <c r="AM63" s="30">
        <v>24.596325894654466</v>
      </c>
      <c r="AN63" s="30" t="e">
        <v>#N/A</v>
      </c>
      <c r="AO63" s="30">
        <v>19.451700463759622</v>
      </c>
      <c r="AP63" s="30" t="e">
        <v>#N/A</v>
      </c>
      <c r="AQ63" s="30">
        <v>10.185938075721346</v>
      </c>
      <c r="AR63" s="30" t="e">
        <v>#N/A</v>
      </c>
      <c r="AS63" s="30">
        <v>2.0315189212608149</v>
      </c>
      <c r="AT63" s="36">
        <v>0</v>
      </c>
    </row>
    <row r="64" spans="2:46" x14ac:dyDescent="0.35">
      <c r="B64" s="47"/>
      <c r="C64" s="30" t="s">
        <v>316</v>
      </c>
      <c r="D64" s="35">
        <v>11.487920129518697</v>
      </c>
      <c r="E64" s="30">
        <v>11.487911420065679</v>
      </c>
      <c r="F64" s="30">
        <v>11.487807820770195</v>
      </c>
      <c r="G64" s="30">
        <v>11.486477358416582</v>
      </c>
      <c r="H64" s="30">
        <v>11.469333255595698</v>
      </c>
      <c r="I64" s="30">
        <v>11.248418955161794</v>
      </c>
      <c r="J64" s="30">
        <v>10.40243715051731</v>
      </c>
      <c r="K64" s="30">
        <v>8.6511609183278964</v>
      </c>
      <c r="L64" s="30">
        <v>7.0615500442091257</v>
      </c>
      <c r="M64" s="30">
        <v>3.6638920307772063</v>
      </c>
      <c r="N64" s="30">
        <v>2.452174306954181</v>
      </c>
      <c r="O64" s="30">
        <v>0.69857543211699935</v>
      </c>
      <c r="P64" s="36">
        <v>0.32340707684114522</v>
      </c>
      <c r="AF64" s="47"/>
      <c r="AG64" s="30" t="s">
        <v>316</v>
      </c>
      <c r="AH64" s="35">
        <v>5.824402276581174</v>
      </c>
      <c r="AI64" s="30">
        <v>7.0686732455410102</v>
      </c>
      <c r="AJ64" s="30">
        <v>7.7435087979758883</v>
      </c>
      <c r="AK64" s="30">
        <v>7.8055625634041297</v>
      </c>
      <c r="AL64" s="30">
        <v>8.4586985386089673</v>
      </c>
      <c r="AM64" s="30">
        <v>9.7536752633997033</v>
      </c>
      <c r="AN64" s="30">
        <v>8.5881355385483413</v>
      </c>
      <c r="AO64" s="30">
        <v>6.851788369533927</v>
      </c>
      <c r="AP64" s="30">
        <v>4.355444745017734</v>
      </c>
      <c r="AQ64" s="30">
        <v>3.2496421996867575</v>
      </c>
      <c r="AR64" s="30">
        <v>1.0358206652873787</v>
      </c>
      <c r="AS64" s="30">
        <v>0.60893902093814267</v>
      </c>
      <c r="AT64" s="36">
        <v>0</v>
      </c>
    </row>
    <row r="65" spans="2:46" x14ac:dyDescent="0.35">
      <c r="B65" s="48"/>
      <c r="C65" s="40" t="s">
        <v>340</v>
      </c>
      <c r="D65" s="39">
        <v>2.7605152408027593</v>
      </c>
      <c r="E65" s="40">
        <v>2.7605152408022104</v>
      </c>
      <c r="F65" s="40">
        <v>2.7605152407047941</v>
      </c>
      <c r="G65" s="40">
        <v>2.7605152230779022</v>
      </c>
      <c r="H65" s="40">
        <v>2.7605119848155786</v>
      </c>
      <c r="I65" s="40">
        <v>2.7599129798715181</v>
      </c>
      <c r="J65" s="40">
        <v>2.7469380297696948</v>
      </c>
      <c r="K65" s="40">
        <v>2.6563343218873543</v>
      </c>
      <c r="L65" s="40">
        <v>2.4819924213015359</v>
      </c>
      <c r="M65" s="40">
        <v>1.690128596700637</v>
      </c>
      <c r="N65" s="40">
        <v>1.2078384406267488</v>
      </c>
      <c r="O65" s="40">
        <v>0.30786975033639602</v>
      </c>
      <c r="P65" s="41">
        <v>0.12382271731795602</v>
      </c>
      <c r="AF65" s="48"/>
      <c r="AG65" s="40" t="s">
        <v>340</v>
      </c>
      <c r="AH65" s="39">
        <v>3.1482871583023004</v>
      </c>
      <c r="AI65" s="40">
        <v>2.9095354515416401</v>
      </c>
      <c r="AJ65" s="40">
        <v>1.8015399579128162</v>
      </c>
      <c r="AK65" s="40">
        <v>1.9677610276216664</v>
      </c>
      <c r="AL65" s="40">
        <v>1.9619007440174605</v>
      </c>
      <c r="AM65" s="40">
        <v>1.7012241182838548</v>
      </c>
      <c r="AN65" s="40" t="e">
        <v>#N/A</v>
      </c>
      <c r="AO65" s="40">
        <v>1.4041020889930955</v>
      </c>
      <c r="AP65" s="40" t="e">
        <v>#N/A</v>
      </c>
      <c r="AQ65" s="40">
        <v>1.0119168517129238</v>
      </c>
      <c r="AR65" s="40" t="e">
        <v>#N/A</v>
      </c>
      <c r="AS65" s="40">
        <v>0.230135771930746</v>
      </c>
      <c r="AT65" s="41">
        <v>0</v>
      </c>
    </row>
    <row r="68" spans="2:46" x14ac:dyDescent="0.35">
      <c r="B68" s="30"/>
      <c r="C68" s="30"/>
      <c r="D68" s="31">
        <v>2000</v>
      </c>
      <c r="E68" s="32">
        <v>1500</v>
      </c>
      <c r="F68" s="32">
        <v>1250</v>
      </c>
      <c r="G68" s="32">
        <v>1000</v>
      </c>
      <c r="H68" s="32">
        <v>750</v>
      </c>
      <c r="I68" s="32">
        <v>500</v>
      </c>
      <c r="J68" s="32">
        <v>350</v>
      </c>
      <c r="K68" s="32">
        <v>250</v>
      </c>
      <c r="L68" s="32">
        <v>200</v>
      </c>
      <c r="M68" s="32">
        <v>125</v>
      </c>
      <c r="N68" s="32">
        <v>100</v>
      </c>
      <c r="O68" s="32">
        <v>50</v>
      </c>
      <c r="P68" s="33">
        <v>1.0000800000000001E-2</v>
      </c>
      <c r="AF68" s="30"/>
      <c r="AG68" s="30"/>
      <c r="AH68" s="31">
        <v>2000</v>
      </c>
      <c r="AI68" s="32">
        <v>1500</v>
      </c>
      <c r="AJ68" s="32">
        <v>1250</v>
      </c>
      <c r="AK68" s="32">
        <v>1000</v>
      </c>
      <c r="AL68" s="32">
        <v>750</v>
      </c>
      <c r="AM68" s="32">
        <v>500</v>
      </c>
      <c r="AN68" s="32">
        <v>350</v>
      </c>
      <c r="AO68" s="32">
        <v>250</v>
      </c>
      <c r="AP68" s="32">
        <v>200</v>
      </c>
      <c r="AQ68" s="32">
        <v>125</v>
      </c>
      <c r="AR68" s="32">
        <v>100</v>
      </c>
      <c r="AS68" s="32">
        <v>50</v>
      </c>
      <c r="AT68" s="33">
        <v>1.0000800000000001E-2</v>
      </c>
    </row>
    <row r="69" spans="2:46" ht="15" customHeight="1" x14ac:dyDescent="0.35">
      <c r="B69" s="46" t="s">
        <v>875</v>
      </c>
      <c r="C69" s="34" t="s">
        <v>854</v>
      </c>
      <c r="D69" s="35">
        <v>23.221071080799828</v>
      </c>
      <c r="E69" s="30">
        <v>23.221071080590363</v>
      </c>
      <c r="F69" s="30">
        <v>23.221071067595602</v>
      </c>
      <c r="G69" s="30">
        <v>23.221070246276948</v>
      </c>
      <c r="H69" s="30">
        <v>23.221017823027282</v>
      </c>
      <c r="I69" s="30">
        <v>23.217557964424447</v>
      </c>
      <c r="J69" s="30">
        <v>23.175715214117194</v>
      </c>
      <c r="K69" s="30">
        <v>22.960448192675027</v>
      </c>
      <c r="L69" s="30">
        <v>22.581966833766113</v>
      </c>
      <c r="M69" s="30">
        <v>20.661295253557341</v>
      </c>
      <c r="N69" s="30">
        <v>19.107777066057793</v>
      </c>
      <c r="O69" s="30">
        <v>12.678755161914461</v>
      </c>
      <c r="P69" s="36">
        <v>-2.9363178934207378E-2</v>
      </c>
      <c r="AF69" s="46" t="s">
        <v>876</v>
      </c>
      <c r="AG69" s="34" t="s">
        <v>854</v>
      </c>
      <c r="AH69" s="35">
        <v>11.540996402511734</v>
      </c>
      <c r="AI69" s="30">
        <v>16.30910093927374</v>
      </c>
      <c r="AJ69" s="30">
        <v>18.190379297012324</v>
      </c>
      <c r="AK69" s="30">
        <v>20.261174922983766</v>
      </c>
      <c r="AL69" s="30">
        <v>21.969407555178329</v>
      </c>
      <c r="AM69" s="30">
        <v>23.654571673054811</v>
      </c>
      <c r="AN69" s="30" t="e">
        <v>#N/A</v>
      </c>
      <c r="AO69" s="30">
        <v>23.348053565843049</v>
      </c>
      <c r="AP69" s="30" t="e">
        <v>#N/A</v>
      </c>
      <c r="AQ69" s="30">
        <v>21.034123423559226</v>
      </c>
      <c r="AR69" s="30" t="e">
        <v>#N/A</v>
      </c>
      <c r="AS69" s="30">
        <v>12.410457812309291</v>
      </c>
      <c r="AT69" s="36">
        <v>0</v>
      </c>
    </row>
    <row r="70" spans="2:46" x14ac:dyDescent="0.35">
      <c r="B70" s="47"/>
      <c r="C70" s="37" t="s">
        <v>856</v>
      </c>
      <c r="D70" s="35">
        <v>28.375354334070593</v>
      </c>
      <c r="E70" s="30">
        <v>28.375354334025392</v>
      </c>
      <c r="F70" s="30">
        <v>28.375354330085418</v>
      </c>
      <c r="G70" s="30">
        <v>28.375353975668261</v>
      </c>
      <c r="H70" s="30">
        <v>28.375321015994921</v>
      </c>
      <c r="I70" s="30">
        <v>28.372068652265412</v>
      </c>
      <c r="J70" s="30">
        <v>28.321004611127741</v>
      </c>
      <c r="K70" s="30">
        <v>28.010962407548277</v>
      </c>
      <c r="L70" s="30">
        <v>27.424274376955612</v>
      </c>
      <c r="M70" s="30">
        <v>24.415817663370898</v>
      </c>
      <c r="N70" s="30">
        <v>22.109546024391658</v>
      </c>
      <c r="O70" s="30">
        <v>13.759007729715245</v>
      </c>
      <c r="P70" s="36">
        <v>7.2725730222016671E-2</v>
      </c>
      <c r="AF70" s="47"/>
      <c r="AG70" s="37" t="s">
        <v>856</v>
      </c>
      <c r="AH70" s="35">
        <v>13.745593379497235</v>
      </c>
      <c r="AI70" s="30">
        <v>19.274910264766593</v>
      </c>
      <c r="AJ70" s="30">
        <v>21.920178136724775</v>
      </c>
      <c r="AK70" s="30">
        <v>23.798144742736255</v>
      </c>
      <c r="AL70" s="30">
        <v>26.459725596151369</v>
      </c>
      <c r="AM70" s="30">
        <v>27.724867561156508</v>
      </c>
      <c r="AN70" s="30" t="e">
        <v>#N/A</v>
      </c>
      <c r="AO70" s="30">
        <v>26.85374244696883</v>
      </c>
      <c r="AP70" s="30" t="e">
        <v>#N/A</v>
      </c>
      <c r="AQ70" s="30">
        <v>23.071902990284645</v>
      </c>
      <c r="AR70" s="30" t="e">
        <v>#N/A</v>
      </c>
      <c r="AS70" s="30">
        <v>13.540166098646582</v>
      </c>
      <c r="AT70" s="36">
        <v>0</v>
      </c>
    </row>
    <row r="71" spans="2:46" x14ac:dyDescent="0.35">
      <c r="B71" s="47"/>
      <c r="C71" s="37" t="s">
        <v>857</v>
      </c>
      <c r="D71" s="35">
        <v>64.061703170934678</v>
      </c>
      <c r="E71" s="30">
        <v>64.061636657541953</v>
      </c>
      <c r="F71" s="30">
        <v>64.060997469625917</v>
      </c>
      <c r="G71" s="30">
        <v>64.054223108579876</v>
      </c>
      <c r="H71" s="30">
        <v>63.981575615291909</v>
      </c>
      <c r="I71" s="30">
        <v>63.188488390827182</v>
      </c>
      <c r="J71" s="30">
        <v>60.397582189850247</v>
      </c>
      <c r="K71" s="30">
        <v>54.704282499402559</v>
      </c>
      <c r="L71" s="30">
        <v>49.352213546576557</v>
      </c>
      <c r="M71" s="30">
        <v>36.266202922396054</v>
      </c>
      <c r="N71" s="30">
        <v>30.278181362246713</v>
      </c>
      <c r="O71" s="30">
        <v>15.931884731840352</v>
      </c>
      <c r="P71" s="36">
        <v>-0.53111314898928486</v>
      </c>
      <c r="AF71" s="47"/>
      <c r="AG71" s="37" t="s">
        <v>857</v>
      </c>
      <c r="AH71" s="35">
        <v>32.317739035290757</v>
      </c>
      <c r="AI71" s="30">
        <v>47.046127006789959</v>
      </c>
      <c r="AJ71" s="30">
        <v>54.298171080477211</v>
      </c>
      <c r="AK71" s="30">
        <v>59.414402260117917</v>
      </c>
      <c r="AL71" s="30">
        <v>61.946133008606751</v>
      </c>
      <c r="AM71" s="30">
        <v>63.488086205736018</v>
      </c>
      <c r="AN71" s="30" t="e">
        <v>#N/A</v>
      </c>
      <c r="AO71" s="30">
        <v>55.49936015644483</v>
      </c>
      <c r="AP71" s="30" t="e">
        <v>#N/A</v>
      </c>
      <c r="AQ71" s="30">
        <v>35.402331568579406</v>
      </c>
      <c r="AR71" s="30" t="e">
        <v>#N/A</v>
      </c>
      <c r="AS71" s="30">
        <v>15.175083150327152</v>
      </c>
      <c r="AT71" s="36">
        <v>0</v>
      </c>
    </row>
    <row r="72" spans="2:46" x14ac:dyDescent="0.35">
      <c r="B72" s="47"/>
      <c r="C72" s="37" t="s">
        <v>858</v>
      </c>
      <c r="D72" s="35">
        <v>23.269469426437944</v>
      </c>
      <c r="E72" s="30">
        <v>23.269469426437325</v>
      </c>
      <c r="F72" s="30">
        <v>23.269469426341583</v>
      </c>
      <c r="G72" s="30">
        <v>23.269469410880156</v>
      </c>
      <c r="H72" s="30">
        <v>23.269466748266076</v>
      </c>
      <c r="I72" s="30">
        <v>23.268945522309632</v>
      </c>
      <c r="J72" s="30">
        <v>23.255758536959082</v>
      </c>
      <c r="K72" s="30">
        <v>23.14194260848226</v>
      </c>
      <c r="L72" s="30">
        <v>22.874408055134694</v>
      </c>
      <c r="M72" s="30">
        <v>21.113525340815038</v>
      </c>
      <c r="N72" s="30">
        <v>19.521945785225565</v>
      </c>
      <c r="O72" s="30">
        <v>12.753654443112271</v>
      </c>
      <c r="P72" s="36">
        <v>-0.17806861983607039</v>
      </c>
      <c r="AF72" s="47"/>
      <c r="AG72" s="37" t="s">
        <v>858</v>
      </c>
      <c r="AH72" s="35">
        <v>15.378243409881007</v>
      </c>
      <c r="AI72" s="30">
        <v>20.639916499404997</v>
      </c>
      <c r="AJ72" s="30">
        <v>22.786106499426737</v>
      </c>
      <c r="AK72" s="30">
        <v>25.081632553873821</v>
      </c>
      <c r="AL72" s="30">
        <v>26.518241369248578</v>
      </c>
      <c r="AM72" s="30">
        <v>27.579312186731041</v>
      </c>
      <c r="AN72" s="30" t="e">
        <v>#N/A</v>
      </c>
      <c r="AO72" s="30">
        <v>27.496889175768345</v>
      </c>
      <c r="AP72" s="30" t="e">
        <v>#N/A</v>
      </c>
      <c r="AQ72" s="30">
        <v>24.464968185108713</v>
      </c>
      <c r="AR72" s="30" t="e">
        <v>#N/A</v>
      </c>
      <c r="AS72" s="30">
        <v>12.62760656522034</v>
      </c>
      <c r="AT72" s="36">
        <v>0</v>
      </c>
    </row>
    <row r="73" spans="2:46" x14ac:dyDescent="0.35">
      <c r="B73" s="47"/>
      <c r="C73" s="37" t="s">
        <v>859</v>
      </c>
      <c r="D73" s="35">
        <v>13.931871257228403</v>
      </c>
      <c r="E73" s="30">
        <v>13.931871257228403</v>
      </c>
      <c r="F73" s="30">
        <v>13.931871257228398</v>
      </c>
      <c r="G73" s="30">
        <v>13.931871257223492</v>
      </c>
      <c r="H73" s="30">
        <v>13.931871250822175</v>
      </c>
      <c r="I73" s="30">
        <v>13.931862835887731</v>
      </c>
      <c r="J73" s="30">
        <v>13.931234099260593</v>
      </c>
      <c r="K73" s="30">
        <v>13.920212962320642</v>
      </c>
      <c r="L73" s="30">
        <v>13.881362725956208</v>
      </c>
      <c r="M73" s="30">
        <v>13.467534356379057</v>
      </c>
      <c r="N73" s="30">
        <v>12.958205551916217</v>
      </c>
      <c r="O73" s="30">
        <v>9.7910612806759723</v>
      </c>
      <c r="P73" s="36">
        <v>-3.5308316372618158E-2</v>
      </c>
      <c r="AF73" s="47"/>
      <c r="AG73" s="37" t="s">
        <v>859</v>
      </c>
      <c r="AH73" s="35">
        <v>4.441173238375832</v>
      </c>
      <c r="AI73" s="30">
        <v>8.4342997603387975</v>
      </c>
      <c r="AJ73" s="30">
        <v>10.698415740138334</v>
      </c>
      <c r="AK73" s="30">
        <v>11.493258762699536</v>
      </c>
      <c r="AL73" s="30">
        <v>12.581736610350468</v>
      </c>
      <c r="AM73" s="30">
        <v>13.307646609231098</v>
      </c>
      <c r="AN73" s="30" t="e">
        <v>#N/A</v>
      </c>
      <c r="AO73" s="30">
        <v>14.105352161308938</v>
      </c>
      <c r="AP73" s="30" t="e">
        <v>#N/A</v>
      </c>
      <c r="AQ73" s="30">
        <v>13.586619487947733</v>
      </c>
      <c r="AR73" s="30" t="e">
        <v>#N/A</v>
      </c>
      <c r="AS73" s="30">
        <v>9.3547422698794929</v>
      </c>
      <c r="AT73" s="36">
        <v>0</v>
      </c>
    </row>
    <row r="74" spans="2:46" x14ac:dyDescent="0.35">
      <c r="B74" s="47"/>
      <c r="C74" s="37" t="s">
        <v>860</v>
      </c>
      <c r="D74" s="35">
        <v>2.7593448923330053</v>
      </c>
      <c r="E74" s="30">
        <v>2.7593448923330053</v>
      </c>
      <c r="F74" s="30">
        <v>2.7593448923330053</v>
      </c>
      <c r="G74" s="30">
        <v>2.7593448923330035</v>
      </c>
      <c r="H74" s="30">
        <v>2.7593448923213928</v>
      </c>
      <c r="I74" s="30">
        <v>2.75934481987131</v>
      </c>
      <c r="J74" s="30">
        <v>2.7593311765786925</v>
      </c>
      <c r="K74" s="30">
        <v>2.7588927993640437</v>
      </c>
      <c r="L74" s="30">
        <v>2.756751097086092</v>
      </c>
      <c r="M74" s="30">
        <v>2.7240730242128297</v>
      </c>
      <c r="N74" s="30">
        <v>2.6762770800851485</v>
      </c>
      <c r="O74" s="30">
        <v>2.3408221250160413</v>
      </c>
      <c r="P74" s="36">
        <v>-6.8145965200673596E-5</v>
      </c>
      <c r="AF74" s="47"/>
      <c r="AG74" s="37" t="s">
        <v>860</v>
      </c>
      <c r="AH74" s="35">
        <v>0.13512092333093745</v>
      </c>
      <c r="AI74" s="30">
        <v>2.3695125804415218</v>
      </c>
      <c r="AJ74" s="30">
        <v>3.2919863239207507</v>
      </c>
      <c r="AK74" s="30">
        <v>4.1476407934078932</v>
      </c>
      <c r="AL74" s="30">
        <v>4.629104225639872</v>
      </c>
      <c r="AM74" s="30">
        <v>4.8240495188978372</v>
      </c>
      <c r="AN74" s="30" t="e">
        <v>#N/A</v>
      </c>
      <c r="AO74" s="30">
        <v>5.129650722423639</v>
      </c>
      <c r="AP74" s="30" t="e">
        <v>#N/A</v>
      </c>
      <c r="AQ74" s="30">
        <v>4.9537657637736672</v>
      </c>
      <c r="AR74" s="30" t="e">
        <v>#N/A</v>
      </c>
      <c r="AS74" s="30">
        <v>3.6803194508827302</v>
      </c>
      <c r="AT74" s="36">
        <v>0</v>
      </c>
    </row>
    <row r="75" spans="2:46" x14ac:dyDescent="0.35">
      <c r="B75" s="47"/>
      <c r="C75" s="37" t="s">
        <v>861</v>
      </c>
      <c r="D75" s="35">
        <v>31.911882109376513</v>
      </c>
      <c r="E75" s="30">
        <v>31.911881945725074</v>
      </c>
      <c r="F75" s="30">
        <v>31.911878603545809</v>
      </c>
      <c r="G75" s="30">
        <v>31.911807071934788</v>
      </c>
      <c r="H75" s="30">
        <v>31.910266599857827</v>
      </c>
      <c r="I75" s="30">
        <v>31.875968286913551</v>
      </c>
      <c r="J75" s="30">
        <v>31.667002657686577</v>
      </c>
      <c r="K75" s="30">
        <v>30.974220229408047</v>
      </c>
      <c r="L75" s="30">
        <v>30.018873725850415</v>
      </c>
      <c r="M75" s="30">
        <v>26.216459283117</v>
      </c>
      <c r="N75" s="30">
        <v>23.615357961929323</v>
      </c>
      <c r="O75" s="30">
        <v>14.613113287351217</v>
      </c>
      <c r="P75" s="36">
        <v>-0.1220678010571199</v>
      </c>
      <c r="AF75" s="47"/>
      <c r="AG75" s="37" t="s">
        <v>861</v>
      </c>
      <c r="AH75" s="35">
        <v>14.806141303802804</v>
      </c>
      <c r="AI75" s="30">
        <v>18.173923630405397</v>
      </c>
      <c r="AJ75" s="30">
        <v>20.103835935725268</v>
      </c>
      <c r="AK75" s="30">
        <v>22.666998784090445</v>
      </c>
      <c r="AL75" s="30">
        <v>25.217241771272285</v>
      </c>
      <c r="AM75" s="30">
        <v>26.554736217313309</v>
      </c>
      <c r="AN75" s="30" t="e">
        <v>#N/A</v>
      </c>
      <c r="AO75" s="30">
        <v>26.913507847268509</v>
      </c>
      <c r="AP75" s="30" t="e">
        <v>#N/A</v>
      </c>
      <c r="AQ75" s="30">
        <v>23.500583994906101</v>
      </c>
      <c r="AR75" s="30" t="e">
        <v>#N/A</v>
      </c>
      <c r="AS75" s="30">
        <v>13.289009561826678</v>
      </c>
      <c r="AT75" s="36">
        <v>0</v>
      </c>
    </row>
    <row r="76" spans="2:46" x14ac:dyDescent="0.35">
      <c r="B76" s="47"/>
      <c r="C76" s="37" t="s">
        <v>862</v>
      </c>
      <c r="D76" s="35">
        <v>25.645308598260499</v>
      </c>
      <c r="E76" s="30">
        <v>25.645308598240092</v>
      </c>
      <c r="F76" s="30">
        <v>25.645308596117879</v>
      </c>
      <c r="G76" s="30">
        <v>25.645308368804638</v>
      </c>
      <c r="H76" s="30">
        <v>25.645283390017951</v>
      </c>
      <c r="I76" s="30">
        <v>25.642439992817195</v>
      </c>
      <c r="J76" s="30">
        <v>25.594907919086527</v>
      </c>
      <c r="K76" s="30">
        <v>25.300030108567793</v>
      </c>
      <c r="L76" s="30">
        <v>24.741358966621323</v>
      </c>
      <c r="M76" s="30">
        <v>21.912504302129321</v>
      </c>
      <c r="N76" s="30">
        <v>19.777536338637361</v>
      </c>
      <c r="O76" s="30">
        <v>12.200296047478874</v>
      </c>
      <c r="P76" s="36">
        <v>2.5722717717350685E-2</v>
      </c>
      <c r="AF76" s="47"/>
      <c r="AG76" s="37" t="s">
        <v>862</v>
      </c>
      <c r="AH76" s="35">
        <v>19.012598202500712</v>
      </c>
      <c r="AI76" s="30">
        <v>21.998723711102016</v>
      </c>
      <c r="AJ76" s="30">
        <v>23.359005873134631</v>
      </c>
      <c r="AK76" s="30">
        <v>25.237227795553164</v>
      </c>
      <c r="AL76" s="30">
        <v>25.760241988651615</v>
      </c>
      <c r="AM76" s="30">
        <v>26.76338698756528</v>
      </c>
      <c r="AN76" s="30" t="e">
        <v>#N/A</v>
      </c>
      <c r="AO76" s="30">
        <v>25.48881354391359</v>
      </c>
      <c r="AP76" s="30" t="e">
        <v>#N/A</v>
      </c>
      <c r="AQ76" s="30">
        <v>21.766439345662967</v>
      </c>
      <c r="AR76" s="30" t="e">
        <v>#N/A</v>
      </c>
      <c r="AS76" s="30">
        <v>12.279407148256501</v>
      </c>
      <c r="AT76" s="36">
        <v>0</v>
      </c>
    </row>
    <row r="77" spans="2:46" x14ac:dyDescent="0.35">
      <c r="B77" s="47"/>
      <c r="C77" s="37" t="s">
        <v>863</v>
      </c>
      <c r="D77" s="35">
        <v>18.912212843606763</v>
      </c>
      <c r="E77" s="30">
        <v>18.912212843606763</v>
      </c>
      <c r="F77" s="30">
        <v>18.912212843606678</v>
      </c>
      <c r="G77" s="30">
        <v>18.912212843547987</v>
      </c>
      <c r="H77" s="30">
        <v>18.912212802162355</v>
      </c>
      <c r="I77" s="30">
        <v>18.91218273827705</v>
      </c>
      <c r="J77" s="30">
        <v>18.910579417464181</v>
      </c>
      <c r="K77" s="30">
        <v>18.887857682649969</v>
      </c>
      <c r="L77" s="30">
        <v>18.816309905339789</v>
      </c>
      <c r="M77" s="30">
        <v>18.14238005012847</v>
      </c>
      <c r="N77" s="30">
        <v>17.368163146929351</v>
      </c>
      <c r="O77" s="30">
        <v>12.909659359389847</v>
      </c>
      <c r="P77" s="36">
        <v>-6.7422051228211113E-2</v>
      </c>
      <c r="AF77" s="47"/>
      <c r="AG77" s="37" t="s">
        <v>863</v>
      </c>
      <c r="AH77" s="35">
        <v>8.3052707813239035</v>
      </c>
      <c r="AI77" s="30">
        <v>12.92158619715193</v>
      </c>
      <c r="AJ77" s="30">
        <v>17.203930430398582</v>
      </c>
      <c r="AK77" s="30">
        <v>19.97834726696242</v>
      </c>
      <c r="AL77" s="30">
        <v>22.720306667289037</v>
      </c>
      <c r="AM77" s="30">
        <v>23.929169219615041</v>
      </c>
      <c r="AN77" s="30" t="e">
        <v>#N/A</v>
      </c>
      <c r="AO77" s="30">
        <v>23.43857493607684</v>
      </c>
      <c r="AP77" s="30" t="e">
        <v>#N/A</v>
      </c>
      <c r="AQ77" s="30">
        <v>20.098564440583068</v>
      </c>
      <c r="AR77" s="30" t="e">
        <v>#N/A</v>
      </c>
      <c r="AS77" s="30">
        <v>12.294161092905117</v>
      </c>
      <c r="AT77" s="36">
        <v>0</v>
      </c>
    </row>
    <row r="78" spans="2:46" x14ac:dyDescent="0.35">
      <c r="B78" s="47"/>
      <c r="C78" s="37" t="s">
        <v>864</v>
      </c>
      <c r="D78" s="35">
        <v>28.689626602869126</v>
      </c>
      <c r="E78" s="30">
        <v>28.689626601128722</v>
      </c>
      <c r="F78" s="30">
        <v>28.689626523941531</v>
      </c>
      <c r="G78" s="30">
        <v>28.68962295778244</v>
      </c>
      <c r="H78" s="30">
        <v>28.689452716254557</v>
      </c>
      <c r="I78" s="30">
        <v>28.680761787900103</v>
      </c>
      <c r="J78" s="30">
        <v>28.589346868455191</v>
      </c>
      <c r="K78" s="30">
        <v>28.159570097398699</v>
      </c>
      <c r="L78" s="30">
        <v>27.451480820449582</v>
      </c>
      <c r="M78" s="30">
        <v>24.239808214909001</v>
      </c>
      <c r="N78" s="30">
        <v>21.919686378779332</v>
      </c>
      <c r="O78" s="30">
        <v>13.694796874714392</v>
      </c>
      <c r="P78" s="36">
        <v>4.5557038758806366E-3</v>
      </c>
      <c r="AF78" s="47"/>
      <c r="AG78" s="37" t="s">
        <v>864</v>
      </c>
      <c r="AH78" s="35">
        <v>10.272546024196112</v>
      </c>
      <c r="AI78" s="30">
        <v>18.699694291408427</v>
      </c>
      <c r="AJ78" s="30">
        <v>22.566941434523695</v>
      </c>
      <c r="AK78" s="30">
        <v>25.613442374726336</v>
      </c>
      <c r="AL78" s="30">
        <v>26.94997417793396</v>
      </c>
      <c r="AM78" s="30">
        <v>28.843903133621914</v>
      </c>
      <c r="AN78" s="30" t="e">
        <v>#N/A</v>
      </c>
      <c r="AO78" s="30">
        <v>28.390892353873546</v>
      </c>
      <c r="AP78" s="30" t="e">
        <v>#N/A</v>
      </c>
      <c r="AQ78" s="30">
        <v>24.418957524422691</v>
      </c>
      <c r="AR78" s="30" t="e">
        <v>#N/A</v>
      </c>
      <c r="AS78" s="30">
        <v>13.663287696957083</v>
      </c>
      <c r="AT78" s="36">
        <v>0</v>
      </c>
    </row>
    <row r="79" spans="2:46" x14ac:dyDescent="0.35">
      <c r="B79" s="47"/>
      <c r="C79" s="37" t="s">
        <v>865</v>
      </c>
      <c r="D79" s="35">
        <v>25.077005425213866</v>
      </c>
      <c r="E79" s="30">
        <v>25.077005425202447</v>
      </c>
      <c r="F79" s="30">
        <v>25.077005424003808</v>
      </c>
      <c r="G79" s="30">
        <v>25.077005295015173</v>
      </c>
      <c r="H79" s="30">
        <v>25.076991068931914</v>
      </c>
      <c r="I79" s="30">
        <v>25.075352656526174</v>
      </c>
      <c r="J79" s="30">
        <v>25.047345163403143</v>
      </c>
      <c r="K79" s="30">
        <v>24.867106725132011</v>
      </c>
      <c r="L79" s="30">
        <v>24.510665940245502</v>
      </c>
      <c r="M79" s="30">
        <v>22.524772107019555</v>
      </c>
      <c r="N79" s="30">
        <v>20.860544626336509</v>
      </c>
      <c r="O79" s="30">
        <v>13.891780833136664</v>
      </c>
      <c r="P79" s="36">
        <v>-5.4651204315109683E-2</v>
      </c>
      <c r="AF79" s="47"/>
      <c r="AG79" s="37" t="s">
        <v>865</v>
      </c>
      <c r="AH79" s="35">
        <v>13.479416683250157</v>
      </c>
      <c r="AI79" s="30">
        <v>17.874900858029665</v>
      </c>
      <c r="AJ79" s="30">
        <v>20.441286260567516</v>
      </c>
      <c r="AK79" s="30">
        <v>22.716607031560436</v>
      </c>
      <c r="AL79" s="30">
        <v>24.350189218693746</v>
      </c>
      <c r="AM79" s="30">
        <v>25.592104361466813</v>
      </c>
      <c r="AN79" s="30" t="e">
        <v>#N/A</v>
      </c>
      <c r="AO79" s="30">
        <v>25.6215672128404</v>
      </c>
      <c r="AP79" s="30" t="e">
        <v>#N/A</v>
      </c>
      <c r="AQ79" s="30">
        <v>22.843047622066287</v>
      </c>
      <c r="AR79" s="30" t="e">
        <v>#N/A</v>
      </c>
      <c r="AS79" s="30">
        <v>13.731687604131587</v>
      </c>
      <c r="AT79" s="36">
        <v>0</v>
      </c>
    </row>
    <row r="80" spans="2:46" x14ac:dyDescent="0.35">
      <c r="B80" s="47"/>
      <c r="C80" s="37" t="s">
        <v>866</v>
      </c>
      <c r="D80" s="35">
        <v>12.376841184226222</v>
      </c>
      <c r="E80" s="30">
        <v>12.376841179079586</v>
      </c>
      <c r="F80" s="30">
        <v>12.37684104511308</v>
      </c>
      <c r="G80" s="30">
        <v>12.376837428796328</v>
      </c>
      <c r="H80" s="30">
        <v>12.376739809105539</v>
      </c>
      <c r="I80" s="30">
        <v>12.374102340657616</v>
      </c>
      <c r="J80" s="30">
        <v>12.356767295667446</v>
      </c>
      <c r="K80" s="30">
        <v>12.295451140151989</v>
      </c>
      <c r="L80" s="30">
        <v>12.197060678104053</v>
      </c>
      <c r="M80" s="30">
        <v>11.598211715998593</v>
      </c>
      <c r="N80" s="30">
        <v>10.990418432739787</v>
      </c>
      <c r="O80" s="30">
        <v>7.7738617071812968</v>
      </c>
      <c r="P80" s="36">
        <v>0.11476932343377726</v>
      </c>
      <c r="AF80" s="47"/>
      <c r="AG80" s="37" t="s">
        <v>866</v>
      </c>
      <c r="AH80" s="35">
        <v>11.460078104015393</v>
      </c>
      <c r="AI80" s="30">
        <v>14.32857286610454</v>
      </c>
      <c r="AJ80" s="30">
        <v>14.72534056616202</v>
      </c>
      <c r="AK80" s="30">
        <v>14.997588385323171</v>
      </c>
      <c r="AL80" s="30">
        <v>16.182159275530616</v>
      </c>
      <c r="AM80" s="30">
        <v>16.313948687299916</v>
      </c>
      <c r="AN80" s="30" t="e">
        <v>#N/A</v>
      </c>
      <c r="AO80" s="30">
        <v>16.147547471562934</v>
      </c>
      <c r="AP80" s="30" t="e">
        <v>#N/A</v>
      </c>
      <c r="AQ80" s="30">
        <v>14.640125471584582</v>
      </c>
      <c r="AR80" s="30" t="e">
        <v>#N/A</v>
      </c>
      <c r="AS80" s="30">
        <v>10.541024314910278</v>
      </c>
      <c r="AT80" s="36">
        <v>0</v>
      </c>
    </row>
    <row r="81" spans="2:65" x14ac:dyDescent="0.35">
      <c r="B81" s="47"/>
      <c r="C81" s="37" t="s">
        <v>867</v>
      </c>
      <c r="D81" s="35">
        <v>24.668993594236351</v>
      </c>
      <c r="E81" s="30">
        <v>24.668993594218176</v>
      </c>
      <c r="F81" s="30">
        <v>24.668993592462801</v>
      </c>
      <c r="G81" s="30">
        <v>24.668993418326135</v>
      </c>
      <c r="H81" s="30">
        <v>24.668975695264855</v>
      </c>
      <c r="I81" s="30">
        <v>24.667086208952991</v>
      </c>
      <c r="J81" s="30">
        <v>24.636156017235951</v>
      </c>
      <c r="K81" s="30">
        <v>24.442251633479561</v>
      </c>
      <c r="L81" s="30">
        <v>24.065012260097035</v>
      </c>
      <c r="M81" s="30">
        <v>22.020822327808638</v>
      </c>
      <c r="N81" s="30">
        <v>20.357224915828034</v>
      </c>
      <c r="O81" s="30">
        <v>13.691893542598933</v>
      </c>
      <c r="P81" s="36">
        <v>-0.17565022106523914</v>
      </c>
      <c r="AF81" s="47"/>
      <c r="AG81" s="37" t="s">
        <v>867</v>
      </c>
      <c r="AH81" s="35">
        <v>11.694247219149092</v>
      </c>
      <c r="AI81" s="30">
        <v>17.499986800226122</v>
      </c>
      <c r="AJ81" s="30">
        <v>21.41913191198903</v>
      </c>
      <c r="AK81" s="30">
        <v>23.86460624254536</v>
      </c>
      <c r="AL81" s="30">
        <v>25.281086932133089</v>
      </c>
      <c r="AM81" s="30">
        <v>27.715538544855605</v>
      </c>
      <c r="AN81" s="30" t="e">
        <v>#N/A</v>
      </c>
      <c r="AO81" s="30">
        <v>28.023745863349976</v>
      </c>
      <c r="AP81" s="30" t="e">
        <v>#N/A</v>
      </c>
      <c r="AQ81" s="30">
        <v>24.817293006956636</v>
      </c>
      <c r="AR81" s="30" t="e">
        <v>#N/A</v>
      </c>
      <c r="AS81" s="30">
        <v>13.800226469487772</v>
      </c>
      <c r="AT81" s="36">
        <v>0</v>
      </c>
    </row>
    <row r="82" spans="2:65" x14ac:dyDescent="0.35">
      <c r="B82" s="48"/>
      <c r="C82" s="38" t="s">
        <v>868</v>
      </c>
      <c r="D82" s="39">
        <v>29.058475863715383</v>
      </c>
      <c r="E82" s="40">
        <v>29.058475863689218</v>
      </c>
      <c r="F82" s="40">
        <v>29.058475861402229</v>
      </c>
      <c r="G82" s="40">
        <v>29.058475654552755</v>
      </c>
      <c r="H82" s="40">
        <v>29.058455904412291</v>
      </c>
      <c r="I82" s="40">
        <v>29.056327191969949</v>
      </c>
      <c r="J82" s="40">
        <v>29.019059331739914</v>
      </c>
      <c r="K82" s="40">
        <v>28.768626733745471</v>
      </c>
      <c r="L82" s="40">
        <v>28.261198682560813</v>
      </c>
      <c r="M82" s="40">
        <v>25.443969957166139</v>
      </c>
      <c r="N82" s="40">
        <v>23.168692710072719</v>
      </c>
      <c r="O82" s="40">
        <v>14.534263292098244</v>
      </c>
      <c r="P82" s="41">
        <v>-0.22757805120908756</v>
      </c>
      <c r="AF82" s="48"/>
      <c r="AG82" s="38" t="s">
        <v>868</v>
      </c>
      <c r="AH82" s="39">
        <v>15.173885359164462</v>
      </c>
      <c r="AI82" s="40">
        <v>22.515035498768398</v>
      </c>
      <c r="AJ82" s="40">
        <v>25.647070466761466</v>
      </c>
      <c r="AK82" s="40">
        <v>28.981061602788827</v>
      </c>
      <c r="AL82" s="40">
        <v>30.46685783401195</v>
      </c>
      <c r="AM82" s="40">
        <v>32.205287930615711</v>
      </c>
      <c r="AN82" s="40" t="e">
        <v>#N/A</v>
      </c>
      <c r="AO82" s="40">
        <v>31.913770833370691</v>
      </c>
      <c r="AP82" s="40" t="e">
        <v>#N/A</v>
      </c>
      <c r="AQ82" s="40">
        <v>26.88316089070619</v>
      </c>
      <c r="AR82" s="40" t="e">
        <v>#N/A</v>
      </c>
      <c r="AS82" s="40">
        <v>14.089113785288719</v>
      </c>
      <c r="AT82" s="41">
        <v>0</v>
      </c>
    </row>
    <row r="83" spans="2:65" ht="15" customHeight="1" x14ac:dyDescent="0.35">
      <c r="B83" s="46" t="s">
        <v>877</v>
      </c>
      <c r="C83" s="30" t="s">
        <v>16</v>
      </c>
      <c r="D83" s="35">
        <v>9.8628251600895798</v>
      </c>
      <c r="E83" s="30">
        <v>9.8628251596920258</v>
      </c>
      <c r="F83" s="30">
        <v>9.8628251350425025</v>
      </c>
      <c r="G83" s="30">
        <v>9.8628235800427042</v>
      </c>
      <c r="H83" s="30">
        <v>9.8627249713843792</v>
      </c>
      <c r="I83" s="30">
        <v>9.8563644180040875</v>
      </c>
      <c r="J83" s="30">
        <v>9.7828248060074738</v>
      </c>
      <c r="K83" s="30">
        <v>9.4356766485614969</v>
      </c>
      <c r="L83" s="30">
        <v>8.8912106039408965</v>
      </c>
      <c r="M83" s="30">
        <v>6.7807942405099402</v>
      </c>
      <c r="N83" s="30">
        <v>5.545890213636131</v>
      </c>
      <c r="O83" s="30">
        <v>2.566190150820101</v>
      </c>
      <c r="P83" s="36">
        <v>0.21730240118652669</v>
      </c>
      <c r="AF83" s="47" t="s">
        <v>878</v>
      </c>
      <c r="AG83" s="30" t="s">
        <v>16</v>
      </c>
      <c r="AH83" s="35">
        <v>4.0095531726706923</v>
      </c>
      <c r="AI83" s="30">
        <v>5.1903446362779722</v>
      </c>
      <c r="AJ83" s="30">
        <v>5.5693179620037991</v>
      </c>
      <c r="AK83" s="30">
        <v>6.6408241159112515</v>
      </c>
      <c r="AL83" s="30">
        <v>7.4256661820012404</v>
      </c>
      <c r="AM83" s="30">
        <v>8.5482290030569654</v>
      </c>
      <c r="AN83" s="30" t="e">
        <v>#N/A</v>
      </c>
      <c r="AO83" s="30">
        <v>8.4891391834825782</v>
      </c>
      <c r="AP83" s="30" t="e">
        <v>#N/A</v>
      </c>
      <c r="AQ83" s="30">
        <v>6.54456786848134</v>
      </c>
      <c r="AR83" s="30" t="e">
        <v>#N/A</v>
      </c>
      <c r="AS83" s="30">
        <v>2.0447881991683916</v>
      </c>
      <c r="AT83" s="36">
        <v>0</v>
      </c>
    </row>
    <row r="84" spans="2:65" x14ac:dyDescent="0.35">
      <c r="B84" s="47"/>
      <c r="C84" s="30" t="s">
        <v>44</v>
      </c>
      <c r="D84" s="35">
        <v>4.0882802108700229</v>
      </c>
      <c r="E84" s="30">
        <v>4.088280210812246</v>
      </c>
      <c r="F84" s="30">
        <v>4.0882802058579752</v>
      </c>
      <c r="G84" s="30">
        <v>4.0882797724679518</v>
      </c>
      <c r="H84" s="30">
        <v>4.0882415185459537</v>
      </c>
      <c r="I84" s="30">
        <v>4.0848658184847677</v>
      </c>
      <c r="J84" s="30">
        <v>4.0392870303419377</v>
      </c>
      <c r="K84" s="30">
        <v>3.8124248120672024</v>
      </c>
      <c r="L84" s="30">
        <v>3.4601756725848336</v>
      </c>
      <c r="M84" s="30">
        <v>2.2210082067931629</v>
      </c>
      <c r="N84" s="30">
        <v>1.6152546618140642</v>
      </c>
      <c r="O84" s="30">
        <v>0.66659493703134076</v>
      </c>
      <c r="P84" s="36">
        <v>0.12518345827774405</v>
      </c>
      <c r="AF84" s="47"/>
      <c r="AG84" s="30" t="s">
        <v>44</v>
      </c>
      <c r="AH84" s="35">
        <v>2.5124100930520132</v>
      </c>
      <c r="AI84" s="30">
        <v>4.2859643294647176</v>
      </c>
      <c r="AJ84" s="30">
        <v>4.9204774499487103</v>
      </c>
      <c r="AK84" s="30">
        <v>5.3768266306583934</v>
      </c>
      <c r="AL84" s="30">
        <v>5.3922458088642857</v>
      </c>
      <c r="AM84" s="30">
        <v>5.9061686765064145</v>
      </c>
      <c r="AN84" s="30" t="e">
        <v>#N/A</v>
      </c>
      <c r="AO84" s="30">
        <v>4.9634802165728962</v>
      </c>
      <c r="AP84" s="30" t="e">
        <v>#N/A</v>
      </c>
      <c r="AQ84" s="30">
        <v>3.4960648697508736</v>
      </c>
      <c r="AR84" s="30" t="e">
        <v>#N/A</v>
      </c>
      <c r="AS84" s="30">
        <v>1.2747422602221661</v>
      </c>
      <c r="AT84" s="36">
        <v>0</v>
      </c>
    </row>
    <row r="85" spans="2:65" x14ac:dyDescent="0.35">
      <c r="B85" s="47"/>
      <c r="C85" s="30" t="s">
        <v>69</v>
      </c>
      <c r="D85" s="35">
        <v>9.0290221355310187</v>
      </c>
      <c r="E85" s="30">
        <v>9.0289902214022764</v>
      </c>
      <c r="F85" s="30">
        <v>9.0286822333001862</v>
      </c>
      <c r="G85" s="30">
        <v>9.0254405974864351</v>
      </c>
      <c r="H85" s="30">
        <v>8.9918627549405574</v>
      </c>
      <c r="I85" s="30">
        <v>8.6648120022646857</v>
      </c>
      <c r="J85" s="30">
        <v>7.7295244075302945</v>
      </c>
      <c r="K85" s="30">
        <v>6.3308033442324625</v>
      </c>
      <c r="L85" s="30">
        <v>5.3801108519790768</v>
      </c>
      <c r="M85" s="30">
        <v>3.762396209705817</v>
      </c>
      <c r="N85" s="30">
        <v>3.1453682406857557</v>
      </c>
      <c r="O85" s="30">
        <v>1.6540737696732992</v>
      </c>
      <c r="P85" s="36">
        <v>0.51075133218251112</v>
      </c>
      <c r="AF85" s="47"/>
      <c r="AG85" s="30" t="s">
        <v>69</v>
      </c>
      <c r="AH85" s="35">
        <v>9.8659852458027455</v>
      </c>
      <c r="AI85" s="30">
        <v>11.617096359893544</v>
      </c>
      <c r="AJ85" s="30">
        <v>11.077252355041423</v>
      </c>
      <c r="AK85" s="30">
        <v>8.9957924538321752</v>
      </c>
      <c r="AL85" s="30">
        <v>7.1665734801480125</v>
      </c>
      <c r="AM85" s="30">
        <v>6.9241655364489736</v>
      </c>
      <c r="AN85" s="30" t="e">
        <v>#N/A</v>
      </c>
      <c r="AO85" s="30">
        <v>3.1619699280288911</v>
      </c>
      <c r="AP85" s="30" t="e">
        <v>#N/A</v>
      </c>
      <c r="AQ85" s="30">
        <v>0.94850162555336259</v>
      </c>
      <c r="AR85" s="30" t="e">
        <v>#N/A</v>
      </c>
      <c r="AS85" s="30">
        <v>0.2382380867786584</v>
      </c>
      <c r="AT85" s="36">
        <v>0</v>
      </c>
    </row>
    <row r="86" spans="2:65" x14ac:dyDescent="0.35">
      <c r="B86" s="47"/>
      <c r="C86" s="30" t="s">
        <v>94</v>
      </c>
      <c r="D86" s="35">
        <v>4.592457457863274</v>
      </c>
      <c r="E86" s="30">
        <v>4.5924574578627047</v>
      </c>
      <c r="F86" s="30">
        <v>4.5924574577727943</v>
      </c>
      <c r="G86" s="30">
        <v>4.5924574432650642</v>
      </c>
      <c r="H86" s="30">
        <v>4.5924549880083845</v>
      </c>
      <c r="I86" s="30">
        <v>4.5920081468778831</v>
      </c>
      <c r="J86" s="30">
        <v>4.5819185082981262</v>
      </c>
      <c r="K86" s="30">
        <v>4.5069332489095615</v>
      </c>
      <c r="L86" s="30">
        <v>4.3544909849915836</v>
      </c>
      <c r="M86" s="30">
        <v>3.599348243631368</v>
      </c>
      <c r="N86" s="30">
        <v>3.0946708237755178</v>
      </c>
      <c r="O86" s="30">
        <v>1.7595258776538272</v>
      </c>
      <c r="P86" s="36">
        <v>0.14216180421454699</v>
      </c>
      <c r="AF86" s="47"/>
      <c r="AG86" s="30" t="s">
        <v>94</v>
      </c>
      <c r="AH86" s="35">
        <v>2.8981881828325298</v>
      </c>
      <c r="AI86" s="30">
        <v>5.1410451783827442</v>
      </c>
      <c r="AJ86" s="30">
        <v>5.8130654422296173</v>
      </c>
      <c r="AK86" s="30">
        <v>6.641926607696548</v>
      </c>
      <c r="AL86" s="30">
        <v>7.1100708820653269</v>
      </c>
      <c r="AM86" s="30">
        <v>7.1786207187715538</v>
      </c>
      <c r="AN86" s="30" t="e">
        <v>#N/A</v>
      </c>
      <c r="AO86" s="30">
        <v>6.987496500909903</v>
      </c>
      <c r="AP86" s="30" t="e">
        <v>#N/A</v>
      </c>
      <c r="AQ86" s="30">
        <v>5.4166046227835905</v>
      </c>
      <c r="AR86" s="30" t="e">
        <v>#N/A</v>
      </c>
      <c r="AS86" s="30">
        <v>1.7454931192113083</v>
      </c>
      <c r="AT86" s="36">
        <v>0</v>
      </c>
    </row>
    <row r="87" spans="2:65" x14ac:dyDescent="0.35">
      <c r="B87" s="47"/>
      <c r="C87" s="30" t="s">
        <v>119</v>
      </c>
      <c r="D87" s="35">
        <v>4.6313172822941562</v>
      </c>
      <c r="E87" s="30">
        <v>4.6313172822941562</v>
      </c>
      <c r="F87" s="30">
        <v>4.6313172822941624</v>
      </c>
      <c r="G87" s="30">
        <v>4.6313172822885438</v>
      </c>
      <c r="H87" s="30">
        <v>4.631317274985113</v>
      </c>
      <c r="I87" s="30">
        <v>4.6313077924438506</v>
      </c>
      <c r="J87" s="30">
        <v>4.6306216243018552</v>
      </c>
      <c r="K87" s="30">
        <v>4.6192568077744935</v>
      </c>
      <c r="L87" s="30">
        <v>4.581555735343815</v>
      </c>
      <c r="M87" s="30">
        <v>4.2326431073828381</v>
      </c>
      <c r="N87" s="30">
        <v>3.8623863763528803</v>
      </c>
      <c r="O87" s="30">
        <v>2.2612217428599242</v>
      </c>
      <c r="P87" s="36">
        <v>3.2476685825519817E-2</v>
      </c>
      <c r="AF87" s="47"/>
      <c r="AG87" s="30" t="s">
        <v>119</v>
      </c>
      <c r="AH87" s="35">
        <v>1.3240325846585872</v>
      </c>
      <c r="AI87" s="30">
        <v>1.8982661233399596</v>
      </c>
      <c r="AJ87" s="30">
        <v>2.9477842211855618</v>
      </c>
      <c r="AK87" s="30">
        <v>3.780770218661555</v>
      </c>
      <c r="AL87" s="30">
        <v>4.4150896132749722</v>
      </c>
      <c r="AM87" s="30">
        <v>4.3156237090366698</v>
      </c>
      <c r="AN87" s="30" t="e">
        <v>#N/A</v>
      </c>
      <c r="AO87" s="30">
        <v>4.9440627655847864</v>
      </c>
      <c r="AP87" s="30" t="e">
        <v>#N/A</v>
      </c>
      <c r="AQ87" s="30">
        <v>4.6375523889897403</v>
      </c>
      <c r="AR87" s="30" t="e">
        <v>#N/A</v>
      </c>
      <c r="AS87" s="30">
        <v>2.0621867627535897</v>
      </c>
      <c r="AT87" s="36">
        <v>0</v>
      </c>
    </row>
    <row r="88" spans="2:65" x14ac:dyDescent="0.35">
      <c r="B88" s="47"/>
      <c r="C88" s="30" t="s">
        <v>144</v>
      </c>
      <c r="D88" s="35">
        <v>1.9217916586706532</v>
      </c>
      <c r="E88" s="30">
        <v>1.9217916586706532</v>
      </c>
      <c r="F88" s="30">
        <v>1.9217916586706532</v>
      </c>
      <c r="G88" s="30">
        <v>1.9217916586706505</v>
      </c>
      <c r="H88" s="30">
        <v>1.9217916586474297</v>
      </c>
      <c r="I88" s="30">
        <v>1.9217915137579018</v>
      </c>
      <c r="J88" s="30">
        <v>1.9217642291758992</v>
      </c>
      <c r="K88" s="30">
        <v>1.9208875391434148</v>
      </c>
      <c r="L88" s="30">
        <v>1.9166044500466766</v>
      </c>
      <c r="M88" s="30">
        <v>1.851253298629802</v>
      </c>
      <c r="N88" s="30">
        <v>1.7556693848681664</v>
      </c>
      <c r="O88" s="30">
        <v>1.0848549872923889</v>
      </c>
      <c r="P88" s="36">
        <v>1.3629193158715789E-4</v>
      </c>
      <c r="AF88" s="47"/>
      <c r="AG88" s="30" t="s">
        <v>144</v>
      </c>
      <c r="AH88" s="35">
        <v>3.4573015172692196</v>
      </c>
      <c r="AI88" s="30">
        <v>4.5826462450113734</v>
      </c>
      <c r="AJ88" s="30">
        <v>4.2783425769412666</v>
      </c>
      <c r="AK88" s="30">
        <v>4.4212929184415275</v>
      </c>
      <c r="AL88" s="30">
        <v>4.4705258399580039</v>
      </c>
      <c r="AM88" s="30">
        <v>4.765419370283607</v>
      </c>
      <c r="AN88" s="30" t="e">
        <v>#N/A</v>
      </c>
      <c r="AO88" s="30">
        <v>5.0332594611888322</v>
      </c>
      <c r="AP88" s="30" t="e">
        <v>#N/A</v>
      </c>
      <c r="AQ88" s="30">
        <v>5.1234373782048941</v>
      </c>
      <c r="AR88" s="30" t="e">
        <v>#N/A</v>
      </c>
      <c r="AS88" s="30">
        <v>3.9675148306544656</v>
      </c>
      <c r="AT88" s="36">
        <v>0</v>
      </c>
    </row>
    <row r="89" spans="2:65" x14ac:dyDescent="0.35">
      <c r="B89" s="47"/>
      <c r="C89" s="30" t="s">
        <v>169</v>
      </c>
      <c r="D89" s="35">
        <v>8.1544277938778276</v>
      </c>
      <c r="E89" s="30">
        <v>8.1544275409756057</v>
      </c>
      <c r="F89" s="30">
        <v>8.1544223768761768</v>
      </c>
      <c r="G89" s="30">
        <v>8.1543119462695302</v>
      </c>
      <c r="H89" s="30">
        <v>8.151945646085089</v>
      </c>
      <c r="I89" s="30">
        <v>8.1009232840028371</v>
      </c>
      <c r="J89" s="30">
        <v>7.8180282139071267</v>
      </c>
      <c r="K89" s="30">
        <v>7.0405855319843251</v>
      </c>
      <c r="L89" s="30">
        <v>6.1839957027696908</v>
      </c>
      <c r="M89" s="30">
        <v>3.9107066634029604</v>
      </c>
      <c r="N89" s="30">
        <v>2.9226313541311995</v>
      </c>
      <c r="O89" s="30">
        <v>1.2028876415588339</v>
      </c>
      <c r="P89" s="36">
        <v>0.31092629264923677</v>
      </c>
      <c r="AF89" s="47"/>
      <c r="AG89" s="30" t="s">
        <v>169</v>
      </c>
      <c r="AH89" s="35">
        <v>4.7828774437044697</v>
      </c>
      <c r="AI89" s="30">
        <v>5.2733712706262299</v>
      </c>
      <c r="AJ89" s="30">
        <v>6.5482978023049929</v>
      </c>
      <c r="AK89" s="30">
        <v>7.2245083973453372</v>
      </c>
      <c r="AL89" s="30">
        <v>7.9518240028700911</v>
      </c>
      <c r="AM89" s="30">
        <v>9.0862469447812959</v>
      </c>
      <c r="AN89" s="30" t="e">
        <v>#N/A</v>
      </c>
      <c r="AO89" s="30">
        <v>9.7573994114919085</v>
      </c>
      <c r="AP89" s="30" t="e">
        <v>#N/A</v>
      </c>
      <c r="AQ89" s="30">
        <v>7.4401317450877027</v>
      </c>
      <c r="AR89" s="30" t="e">
        <v>#N/A</v>
      </c>
      <c r="AS89" s="30">
        <v>2.7925114661852559</v>
      </c>
      <c r="AT89" s="36">
        <v>0</v>
      </c>
    </row>
    <row r="90" spans="2:65" x14ac:dyDescent="0.35">
      <c r="B90" s="47"/>
      <c r="C90" s="30" t="s">
        <v>194</v>
      </c>
      <c r="D90" s="35">
        <v>7.405040352004173</v>
      </c>
      <c r="E90" s="30">
        <v>7.4050403520095776</v>
      </c>
      <c r="F90" s="30">
        <v>7.4050403522976538</v>
      </c>
      <c r="G90" s="30">
        <v>7.4050403517194949</v>
      </c>
      <c r="H90" s="30">
        <v>7.4050365864600165</v>
      </c>
      <c r="I90" s="30">
        <v>7.4041800400295408</v>
      </c>
      <c r="J90" s="30">
        <v>7.3859876265058952</v>
      </c>
      <c r="K90" s="30">
        <v>7.2636539314478386</v>
      </c>
      <c r="L90" s="30">
        <v>7.0329535756676842</v>
      </c>
      <c r="M90" s="30">
        <v>5.9645071288484885</v>
      </c>
      <c r="N90" s="30">
        <v>5.2430920101163219</v>
      </c>
      <c r="O90" s="30">
        <v>2.9883576850905849</v>
      </c>
      <c r="P90" s="36">
        <v>0.36069535393178093</v>
      </c>
      <c r="U90" t="str">
        <f>_xlfn.CONCAT(U86:U88)</f>
        <v/>
      </c>
      <c r="AF90" s="47"/>
      <c r="AG90" s="30" t="s">
        <v>194</v>
      </c>
      <c r="AH90" s="35">
        <v>3.4527031647024118</v>
      </c>
      <c r="AI90" s="30">
        <v>4.5499688251939787</v>
      </c>
      <c r="AJ90" s="30">
        <v>5.1164909384801431</v>
      </c>
      <c r="AK90" s="30">
        <v>5.5415592160958109</v>
      </c>
      <c r="AL90" s="30">
        <v>6.4332045829753239</v>
      </c>
      <c r="AM90" s="30">
        <v>6.9755123842932329</v>
      </c>
      <c r="AN90" s="30" t="e">
        <v>#N/A</v>
      </c>
      <c r="AO90" s="30">
        <v>6.9996223023299757</v>
      </c>
      <c r="AP90" s="30" t="e">
        <v>#N/A</v>
      </c>
      <c r="AQ90" s="30">
        <v>5.8631917424816455</v>
      </c>
      <c r="AR90" s="30" t="e">
        <v>#N/A</v>
      </c>
      <c r="AS90" s="30">
        <v>1.8075150896939531</v>
      </c>
      <c r="AT90" s="36">
        <v>0</v>
      </c>
      <c r="AY90" t="str">
        <f>_xlfn.CONCAT(AY86:AY88)</f>
        <v/>
      </c>
      <c r="BM90" t="str">
        <f>_xlfn.CONCAT(BM86:BM88)</f>
        <v/>
      </c>
    </row>
    <row r="91" spans="2:65" x14ac:dyDescent="0.35">
      <c r="B91" s="47"/>
      <c r="C91" s="30" t="s">
        <v>218</v>
      </c>
      <c r="D91" s="35">
        <v>5.2782719094252899</v>
      </c>
      <c r="E91" s="30">
        <v>5.2782719094252899</v>
      </c>
      <c r="F91" s="30">
        <v>5.2782719094251958</v>
      </c>
      <c r="G91" s="30">
        <v>5.2782719093552117</v>
      </c>
      <c r="H91" s="30">
        <v>5.2782718605073775</v>
      </c>
      <c r="I91" s="30">
        <v>5.2782376423281825</v>
      </c>
      <c r="J91" s="30">
        <v>5.2765181142996367</v>
      </c>
      <c r="K91" s="30">
        <v>5.2540805502049643</v>
      </c>
      <c r="L91" s="30">
        <v>5.1888158696633795</v>
      </c>
      <c r="M91" s="30">
        <v>4.6659027620518989</v>
      </c>
      <c r="N91" s="30">
        <v>4.153291981747766</v>
      </c>
      <c r="O91" s="30">
        <v>2.0821373676572401</v>
      </c>
      <c r="P91" s="36">
        <v>5.6352889576930534E-2</v>
      </c>
      <c r="AF91" s="47"/>
      <c r="AG91" s="30" t="s">
        <v>218</v>
      </c>
      <c r="AH91" s="35">
        <v>5.6839296525542089</v>
      </c>
      <c r="AI91" s="30">
        <v>8.1929741645103586</v>
      </c>
      <c r="AJ91" s="30">
        <v>11.028906142264262</v>
      </c>
      <c r="AK91" s="30">
        <v>13.806006391416592</v>
      </c>
      <c r="AL91" s="30">
        <v>15.116382179658048</v>
      </c>
      <c r="AM91" s="30">
        <v>15.642008091556336</v>
      </c>
      <c r="AN91" s="30" t="e">
        <v>#N/A</v>
      </c>
      <c r="AO91" s="30">
        <v>12.886761386967413</v>
      </c>
      <c r="AP91" s="30" t="e">
        <v>#N/A</v>
      </c>
      <c r="AQ91" s="30">
        <v>8.0166482315519119</v>
      </c>
      <c r="AR91" s="30" t="e">
        <v>#N/A</v>
      </c>
      <c r="AS91" s="30">
        <v>2.0544221189386538</v>
      </c>
      <c r="AT91" s="36">
        <v>0</v>
      </c>
    </row>
    <row r="92" spans="2:65" x14ac:dyDescent="0.35">
      <c r="B92" s="47"/>
      <c r="C92" s="30" t="s">
        <v>243</v>
      </c>
      <c r="D92" s="35">
        <v>5.7853342761185029</v>
      </c>
      <c r="E92" s="30">
        <v>5.7853342733012756</v>
      </c>
      <c r="F92" s="30">
        <v>5.7853341512486161</v>
      </c>
      <c r="G92" s="30">
        <v>5.7853287082423854</v>
      </c>
      <c r="H92" s="30">
        <v>5.785083427736434</v>
      </c>
      <c r="I92" s="30">
        <v>5.7738653967922833</v>
      </c>
      <c r="J92" s="30">
        <v>5.6716756792133802</v>
      </c>
      <c r="K92" s="30">
        <v>5.2735658353984984</v>
      </c>
      <c r="L92" s="30">
        <v>4.7291407547272355</v>
      </c>
      <c r="M92" s="30">
        <v>2.9526214370589008</v>
      </c>
      <c r="N92" s="30">
        <v>2.0626731037718611</v>
      </c>
      <c r="O92" s="30">
        <v>0.48541972290644814</v>
      </c>
      <c r="P92" s="36">
        <v>0.14655303169686634</v>
      </c>
      <c r="AF92" s="47"/>
      <c r="AG92" s="30" t="s">
        <v>243</v>
      </c>
      <c r="AH92" s="35">
        <v>4.3698968648095002</v>
      </c>
      <c r="AI92" s="30">
        <v>5.6251503543637833</v>
      </c>
      <c r="AJ92" s="30">
        <v>6.8419857648440683</v>
      </c>
      <c r="AK92" s="30">
        <v>6.6237571521057541</v>
      </c>
      <c r="AL92" s="30">
        <v>6.7428322007349006</v>
      </c>
      <c r="AM92" s="30">
        <v>6.277491311878614</v>
      </c>
      <c r="AN92" s="30" t="e">
        <v>#N/A</v>
      </c>
      <c r="AO92" s="30">
        <v>5.3677887298995683</v>
      </c>
      <c r="AP92" s="30" t="e">
        <v>#N/A</v>
      </c>
      <c r="AQ92" s="30">
        <v>2.9903818202292074</v>
      </c>
      <c r="AR92" s="30" t="e">
        <v>#N/A</v>
      </c>
      <c r="AS92" s="30">
        <v>0.46478884115762886</v>
      </c>
      <c r="AT92" s="36">
        <v>0</v>
      </c>
    </row>
    <row r="93" spans="2:65" x14ac:dyDescent="0.35">
      <c r="B93" s="47"/>
      <c r="C93" s="30" t="s">
        <v>268</v>
      </c>
      <c r="D93" s="35">
        <v>7.1276133318732571</v>
      </c>
      <c r="E93" s="30">
        <v>7.1276133318519692</v>
      </c>
      <c r="F93" s="30">
        <v>7.1276133296788187</v>
      </c>
      <c r="G93" s="30">
        <v>7.1276131040466773</v>
      </c>
      <c r="H93" s="30">
        <v>7.1275894384135121</v>
      </c>
      <c r="I93" s="30">
        <v>7.1250666527105464</v>
      </c>
      <c r="J93" s="30">
        <v>7.0853390046489642</v>
      </c>
      <c r="K93" s="30">
        <v>6.8550888926942273</v>
      </c>
      <c r="L93" s="30">
        <v>6.4481027188928657</v>
      </c>
      <c r="M93" s="30">
        <v>4.6761143644683507</v>
      </c>
      <c r="N93" s="30">
        <v>3.5751457539319835</v>
      </c>
      <c r="O93" s="30">
        <v>1.0900883208063095</v>
      </c>
      <c r="P93" s="36">
        <v>0.11954391941621988</v>
      </c>
      <c r="AF93" s="47"/>
      <c r="AG93" s="30" t="s">
        <v>268</v>
      </c>
      <c r="AH93" s="35">
        <v>3.4865083013219391</v>
      </c>
      <c r="AI93" s="30">
        <v>4.70915174816587</v>
      </c>
      <c r="AJ93" s="30">
        <v>5.110608313122027</v>
      </c>
      <c r="AK93" s="30">
        <v>5.991932401725709</v>
      </c>
      <c r="AL93" s="30">
        <v>6.6510552320046283</v>
      </c>
      <c r="AM93" s="30">
        <v>7.1339026511148669</v>
      </c>
      <c r="AN93" s="30" t="e">
        <v>#N/A</v>
      </c>
      <c r="AO93" s="30">
        <v>6.4446468455913131</v>
      </c>
      <c r="AP93" s="30" t="e">
        <v>#N/A</v>
      </c>
      <c r="AQ93" s="30">
        <v>4.1491832087688492</v>
      </c>
      <c r="AR93" s="30" t="e">
        <v>#N/A</v>
      </c>
      <c r="AS93" s="30">
        <v>0.83293665947278783</v>
      </c>
      <c r="AT93" s="36">
        <v>0</v>
      </c>
    </row>
    <row r="94" spans="2:65" x14ac:dyDescent="0.35">
      <c r="B94" s="47"/>
      <c r="C94" s="30" t="s">
        <v>291</v>
      </c>
      <c r="D94" s="35">
        <v>5.9350642558216613</v>
      </c>
      <c r="E94" s="30">
        <v>5.9350642623286518</v>
      </c>
      <c r="F94" s="30">
        <v>5.9350644317050092</v>
      </c>
      <c r="G94" s="30">
        <v>5.9350690038879472</v>
      </c>
      <c r="H94" s="30">
        <v>5.935192428727893</v>
      </c>
      <c r="I94" s="30">
        <v>5.9385237915493754</v>
      </c>
      <c r="J94" s="30">
        <v>5.9598804718188152</v>
      </c>
      <c r="K94" s="30">
        <v>6.0232972731162135</v>
      </c>
      <c r="L94" s="30">
        <v>6.089024680947638</v>
      </c>
      <c r="M94" s="30">
        <v>6.1234299215154602</v>
      </c>
      <c r="N94" s="30">
        <v>5.9612443546095459</v>
      </c>
      <c r="O94" s="30">
        <v>4.4567171577596527</v>
      </c>
      <c r="P94" s="36">
        <v>0.15481797079211077</v>
      </c>
      <c r="AF94" s="47"/>
      <c r="AG94" s="30" t="s">
        <v>291</v>
      </c>
      <c r="AH94" s="35">
        <v>0.57384726112505846</v>
      </c>
      <c r="AI94" s="30">
        <v>1.0153345796755928</v>
      </c>
      <c r="AJ94" s="30">
        <v>0.8054796150615926</v>
      </c>
      <c r="AK94" s="30">
        <v>0.94141857055118316</v>
      </c>
      <c r="AL94" s="30">
        <v>1.0728766825379694</v>
      </c>
      <c r="AM94" s="30">
        <v>1.2463671304723722</v>
      </c>
      <c r="AN94" s="30" t="e">
        <v>#N/A</v>
      </c>
      <c r="AO94" s="30">
        <v>1.2162547109257833</v>
      </c>
      <c r="AP94" s="30" t="e">
        <v>#N/A</v>
      </c>
      <c r="AQ94" s="30">
        <v>1.2018162272674049</v>
      </c>
      <c r="AR94" s="30" t="e">
        <v>#N/A</v>
      </c>
      <c r="AS94" s="30">
        <v>0.70923999494207413</v>
      </c>
      <c r="AT94" s="36">
        <v>0</v>
      </c>
    </row>
    <row r="95" spans="2:65" x14ac:dyDescent="0.35">
      <c r="B95" s="47"/>
      <c r="C95" s="30" t="s">
        <v>316</v>
      </c>
      <c r="D95" s="35">
        <v>10.211135330315157</v>
      </c>
      <c r="E95" s="30">
        <v>10.211135330286989</v>
      </c>
      <c r="F95" s="30">
        <v>10.211135327606922</v>
      </c>
      <c r="G95" s="30">
        <v>10.211135067112062</v>
      </c>
      <c r="H95" s="30">
        <v>10.211109340789795</v>
      </c>
      <c r="I95" s="30">
        <v>10.208502207352616</v>
      </c>
      <c r="J95" s="30">
        <v>10.168349696177762</v>
      </c>
      <c r="K95" s="30">
        <v>9.9367775520952897</v>
      </c>
      <c r="L95" s="30">
        <v>9.5243613628866655</v>
      </c>
      <c r="M95" s="30">
        <v>7.6462285518385862</v>
      </c>
      <c r="N95" s="30">
        <v>6.365802887846594</v>
      </c>
      <c r="O95" s="30">
        <v>2.4318041618010637</v>
      </c>
      <c r="P95" s="36">
        <v>0.19823478528293076</v>
      </c>
      <c r="AF95" s="47"/>
      <c r="AG95" s="30" t="s">
        <v>316</v>
      </c>
      <c r="AH95" s="35">
        <v>4.1252380043212833</v>
      </c>
      <c r="AI95" s="30">
        <v>5.2104951707270981</v>
      </c>
      <c r="AJ95" s="30">
        <v>6.7014078322612169</v>
      </c>
      <c r="AK95" s="30">
        <v>7.2511702651439798</v>
      </c>
      <c r="AL95" s="30">
        <v>7.9963669003620685</v>
      </c>
      <c r="AM95" s="30">
        <v>8.4027483440542419</v>
      </c>
      <c r="AN95" s="30" t="e">
        <v>#N/A</v>
      </c>
      <c r="AO95" s="30">
        <v>7.7342143689444631</v>
      </c>
      <c r="AP95" s="30" t="e">
        <v>#N/A</v>
      </c>
      <c r="AQ95" s="30">
        <v>5.6834620610659305</v>
      </c>
      <c r="AR95" s="30" t="e">
        <v>#N/A</v>
      </c>
      <c r="AS95" s="30">
        <v>1.3009489898828588</v>
      </c>
      <c r="AT95" s="36">
        <v>0</v>
      </c>
    </row>
    <row r="96" spans="2:65" x14ac:dyDescent="0.35">
      <c r="B96" s="48"/>
      <c r="C96" s="40" t="s">
        <v>340</v>
      </c>
      <c r="D96" s="39">
        <v>5.1205990229386069</v>
      </c>
      <c r="E96" s="40">
        <v>5.1205990228816809</v>
      </c>
      <c r="F96" s="40">
        <v>5.1205990179841576</v>
      </c>
      <c r="G96" s="40">
        <v>5.1205985918809231</v>
      </c>
      <c r="H96" s="40">
        <v>5.1205615195164604</v>
      </c>
      <c r="I96" s="40">
        <v>5.1173479467402085</v>
      </c>
      <c r="J96" s="40">
        <v>5.073932045089526</v>
      </c>
      <c r="K96" s="40">
        <v>4.8530429143284373</v>
      </c>
      <c r="L96" s="40">
        <v>4.4983340728019678</v>
      </c>
      <c r="M96" s="40">
        <v>3.1388876401114993</v>
      </c>
      <c r="N96" s="40">
        <v>2.3792981957382664</v>
      </c>
      <c r="O96" s="40">
        <v>0.797945178317363</v>
      </c>
      <c r="P96" s="41">
        <v>0.13450027246508836</v>
      </c>
      <c r="AF96" s="48"/>
      <c r="AG96" s="40" t="s">
        <v>340</v>
      </c>
      <c r="AH96" s="39">
        <v>4.1677568495994244</v>
      </c>
      <c r="AI96" s="40">
        <v>6.4944029870671489</v>
      </c>
      <c r="AJ96" s="40">
        <v>7.2413369936104202</v>
      </c>
      <c r="AK96" s="40">
        <v>6.7609344121214949</v>
      </c>
      <c r="AL96" s="40">
        <v>8.3968472251126798</v>
      </c>
      <c r="AM96" s="40">
        <v>8.3994844483380167</v>
      </c>
      <c r="AN96" s="40" t="e">
        <v>#N/A</v>
      </c>
      <c r="AO96" s="40">
        <v>6.730859016344608</v>
      </c>
      <c r="AP96" s="40" t="e">
        <v>#N/A</v>
      </c>
      <c r="AQ96" s="40">
        <v>4.118950473179666</v>
      </c>
      <c r="AR96" s="40" t="e">
        <v>#N/A</v>
      </c>
      <c r="AS96" s="40">
        <v>0.72994261857820386</v>
      </c>
      <c r="AT96" s="41">
        <v>0</v>
      </c>
    </row>
    <row r="97" spans="3:33" x14ac:dyDescent="0.35">
      <c r="C97" s="29"/>
      <c r="AG97" s="29"/>
    </row>
    <row r="98" spans="3:33" x14ac:dyDescent="0.35">
      <c r="C98" s="29"/>
      <c r="AG98" s="29"/>
    </row>
    <row r="99" spans="3:33" x14ac:dyDescent="0.35">
      <c r="C99" s="29"/>
      <c r="AG99" s="29"/>
    </row>
    <row r="100" spans="3:33" x14ac:dyDescent="0.35">
      <c r="C100" s="29"/>
      <c r="AG100" s="29"/>
    </row>
    <row r="101" spans="3:33" x14ac:dyDescent="0.35">
      <c r="C101" s="29"/>
      <c r="AG101" s="29"/>
    </row>
    <row r="105" spans="3:33" x14ac:dyDescent="0.35">
      <c r="C105" s="29"/>
      <c r="AG105" s="29"/>
    </row>
    <row r="106" spans="3:33" x14ac:dyDescent="0.35">
      <c r="C106" s="29"/>
      <c r="AG106" s="29"/>
    </row>
    <row r="107" spans="3:33" x14ac:dyDescent="0.35">
      <c r="C107" s="29"/>
      <c r="AG107" s="29"/>
    </row>
    <row r="108" spans="3:33" x14ac:dyDescent="0.35">
      <c r="C108" s="29"/>
      <c r="AG108" s="29"/>
    </row>
    <row r="109" spans="3:33" x14ac:dyDescent="0.35">
      <c r="C109" s="29"/>
      <c r="AG109" s="29"/>
    </row>
    <row r="110" spans="3:33" x14ac:dyDescent="0.35">
      <c r="C110" s="29"/>
      <c r="AG110" s="29"/>
    </row>
    <row r="111" spans="3:33" x14ac:dyDescent="0.35">
      <c r="C111" s="29"/>
      <c r="AG111" s="29"/>
    </row>
    <row r="112" spans="3:33" x14ac:dyDescent="0.35">
      <c r="C112" s="29"/>
      <c r="AG112" s="29"/>
    </row>
    <row r="113" spans="3:33" x14ac:dyDescent="0.35">
      <c r="C113" s="29"/>
      <c r="AG113" s="29"/>
    </row>
    <row r="114" spans="3:33" x14ac:dyDescent="0.35">
      <c r="C114" s="29"/>
      <c r="AG114" s="29"/>
    </row>
    <row r="115" spans="3:33" x14ac:dyDescent="0.35">
      <c r="C115" s="29"/>
      <c r="AG115" s="29"/>
    </row>
    <row r="116" spans="3:33" x14ac:dyDescent="0.35">
      <c r="C116" s="29"/>
      <c r="AG116" s="29"/>
    </row>
    <row r="117" spans="3:33" x14ac:dyDescent="0.35">
      <c r="C117" s="29"/>
      <c r="AG117" s="29"/>
    </row>
    <row r="120" spans="3:33" x14ac:dyDescent="0.35">
      <c r="C120" s="29"/>
      <c r="AG120" s="29"/>
    </row>
    <row r="121" spans="3:33" x14ac:dyDescent="0.35">
      <c r="C121" s="29"/>
      <c r="AG121" s="29"/>
    </row>
    <row r="122" spans="3:33" x14ac:dyDescent="0.35">
      <c r="C122" s="29"/>
      <c r="AG122" s="29"/>
    </row>
    <row r="123" spans="3:33" x14ac:dyDescent="0.35">
      <c r="C123" s="29"/>
      <c r="AG123" s="29"/>
    </row>
    <row r="124" spans="3:33" x14ac:dyDescent="0.35">
      <c r="C124" s="29"/>
      <c r="AG124" s="29"/>
    </row>
    <row r="125" spans="3:33" x14ac:dyDescent="0.35">
      <c r="C125" s="29"/>
      <c r="AG125" s="29"/>
    </row>
    <row r="126" spans="3:33" x14ac:dyDescent="0.35">
      <c r="C126" s="29"/>
      <c r="AG126" s="29"/>
    </row>
    <row r="127" spans="3:33" x14ac:dyDescent="0.35">
      <c r="C127" s="29"/>
      <c r="AG127" s="29"/>
    </row>
    <row r="128" spans="3:33" x14ac:dyDescent="0.35">
      <c r="C128" s="29"/>
      <c r="AG128" s="29"/>
    </row>
    <row r="129" spans="3:64" x14ac:dyDescent="0.35">
      <c r="C129" s="29"/>
      <c r="AG129" s="29"/>
    </row>
    <row r="130" spans="3:64" x14ac:dyDescent="0.35">
      <c r="C130" s="29"/>
      <c r="AG130" s="29"/>
    </row>
    <row r="131" spans="3:64" x14ac:dyDescent="0.35">
      <c r="C131" s="29"/>
      <c r="AG131" s="29"/>
    </row>
    <row r="132" spans="3:64" x14ac:dyDescent="0.35">
      <c r="C132" s="29"/>
      <c r="AG132" s="29"/>
    </row>
    <row r="134" spans="3:64" x14ac:dyDescent="0.35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</row>
    <row r="136" spans="3:64" x14ac:dyDescent="0.35">
      <c r="C136" s="29"/>
      <c r="AG136" s="29"/>
    </row>
    <row r="137" spans="3:64" x14ac:dyDescent="0.35">
      <c r="C137" s="29"/>
      <c r="AG137" s="29"/>
    </row>
    <row r="138" spans="3:64" x14ac:dyDescent="0.35">
      <c r="C138" s="29"/>
      <c r="Q138" s="28"/>
      <c r="R138" s="28"/>
      <c r="S138" s="28"/>
      <c r="T138" s="28"/>
      <c r="AG138" s="29"/>
      <c r="AU138" s="28"/>
      <c r="AV138" s="28"/>
      <c r="AW138" s="28"/>
      <c r="AX138" s="28"/>
      <c r="BJ138" s="28"/>
      <c r="BK138" s="28"/>
      <c r="BL138" s="28"/>
    </row>
    <row r="139" spans="3:64" x14ac:dyDescent="0.35">
      <c r="C139" s="29"/>
      <c r="AG139" s="29"/>
    </row>
    <row r="140" spans="3:64" x14ac:dyDescent="0.35">
      <c r="C140" s="29"/>
      <c r="AG140" s="29"/>
    </row>
    <row r="141" spans="3:64" x14ac:dyDescent="0.35">
      <c r="C141" s="29"/>
      <c r="AG141" s="29"/>
    </row>
    <row r="142" spans="3:64" x14ac:dyDescent="0.35">
      <c r="C142" s="29"/>
      <c r="AG142" s="29"/>
    </row>
    <row r="143" spans="3:64" x14ac:dyDescent="0.35">
      <c r="C143" s="29"/>
      <c r="AG143" s="29"/>
    </row>
    <row r="144" spans="3:64" x14ac:dyDescent="0.35">
      <c r="C144" s="29"/>
      <c r="AG144" s="29"/>
    </row>
    <row r="145" spans="3:126" x14ac:dyDescent="0.35">
      <c r="C145" s="29"/>
      <c r="AG145" s="29"/>
    </row>
    <row r="146" spans="3:126" x14ac:dyDescent="0.35">
      <c r="C146" s="29"/>
      <c r="AG146" s="29"/>
    </row>
    <row r="147" spans="3:126" x14ac:dyDescent="0.35">
      <c r="C147" s="29"/>
      <c r="AG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8"/>
      <c r="BG147" s="28"/>
      <c r="BH147" s="29"/>
      <c r="BI147" s="29"/>
      <c r="BJ147" s="29"/>
      <c r="BK147" s="29"/>
      <c r="BW147" s="29"/>
      <c r="BX147" s="29"/>
      <c r="BY147" s="28"/>
      <c r="BZ147" s="28"/>
      <c r="CA147" s="29"/>
      <c r="CB147" s="29"/>
      <c r="CC147" s="29"/>
      <c r="CD147" s="29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</row>
    <row r="148" spans="3:126" x14ac:dyDescent="0.35">
      <c r="C148" s="29"/>
      <c r="AG148" s="29"/>
      <c r="BY148" s="28"/>
    </row>
    <row r="149" spans="3:126" x14ac:dyDescent="0.35">
      <c r="BY149" s="28"/>
    </row>
    <row r="150" spans="3:126" x14ac:dyDescent="0.35">
      <c r="BY150" s="28"/>
    </row>
    <row r="151" spans="3:126" x14ac:dyDescent="0.35">
      <c r="C151" s="29"/>
      <c r="AG151" s="29"/>
      <c r="BY151" s="28"/>
    </row>
    <row r="152" spans="3:126" x14ac:dyDescent="0.35">
      <c r="C152" s="29"/>
      <c r="AG152" s="29"/>
      <c r="BY152" s="28"/>
    </row>
    <row r="153" spans="3:126" x14ac:dyDescent="0.35">
      <c r="C153" s="29"/>
      <c r="AG153" s="29"/>
      <c r="BY153" s="28"/>
    </row>
    <row r="154" spans="3:126" x14ac:dyDescent="0.35">
      <c r="C154" s="29"/>
      <c r="AG154" s="29"/>
      <c r="BY154" s="28"/>
    </row>
    <row r="155" spans="3:126" x14ac:dyDescent="0.35">
      <c r="C155" s="29"/>
      <c r="AG155" s="29"/>
      <c r="BY155" s="28"/>
    </row>
    <row r="156" spans="3:126" x14ac:dyDescent="0.35">
      <c r="C156" s="29"/>
      <c r="AG156" s="29"/>
      <c r="BY156" s="28"/>
    </row>
    <row r="157" spans="3:126" x14ac:dyDescent="0.35">
      <c r="C157" s="29"/>
      <c r="AG157" s="29"/>
      <c r="BY157" s="28"/>
    </row>
    <row r="158" spans="3:126" x14ac:dyDescent="0.35">
      <c r="C158" s="29"/>
      <c r="AG158" s="29"/>
      <c r="BY158" s="28"/>
    </row>
    <row r="159" spans="3:126" x14ac:dyDescent="0.35">
      <c r="C159" s="29"/>
      <c r="AG159" s="29"/>
    </row>
    <row r="160" spans="3:126" x14ac:dyDescent="0.35">
      <c r="C160" s="29"/>
      <c r="AG160" s="29"/>
    </row>
    <row r="161" spans="3:111" x14ac:dyDescent="0.35">
      <c r="C161" s="29"/>
      <c r="AG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8"/>
      <c r="BG161" s="28"/>
      <c r="BH161" s="28"/>
      <c r="BI161" s="29"/>
      <c r="BW161" s="29"/>
      <c r="BX161" s="29"/>
      <c r="BY161" s="28"/>
      <c r="BZ161" s="28"/>
      <c r="CA161" s="28"/>
      <c r="CB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</row>
    <row r="162" spans="3:111" x14ac:dyDescent="0.35">
      <c r="C162" s="29"/>
      <c r="AG162" s="29"/>
      <c r="BG162" s="28"/>
    </row>
    <row r="163" spans="3:111" x14ac:dyDescent="0.35">
      <c r="C163" s="29"/>
      <c r="AG163" s="29"/>
      <c r="BG163" s="28"/>
    </row>
    <row r="164" spans="3:111" x14ac:dyDescent="0.35">
      <c r="BG164" s="28"/>
    </row>
    <row r="165" spans="3:111" x14ac:dyDescent="0.35"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BG165" s="28"/>
    </row>
    <row r="166" spans="3:111" x14ac:dyDescent="0.35">
      <c r="BG166" s="28"/>
    </row>
    <row r="167" spans="3:111" x14ac:dyDescent="0.35">
      <c r="C167" s="29"/>
      <c r="AG167" s="29"/>
      <c r="BG167" s="28"/>
    </row>
    <row r="168" spans="3:111" x14ac:dyDescent="0.35">
      <c r="C168" s="29"/>
      <c r="AG168" s="29"/>
      <c r="BG168" s="28"/>
    </row>
    <row r="169" spans="3:111" x14ac:dyDescent="0.35">
      <c r="C169" s="29"/>
      <c r="Q169" s="28"/>
      <c r="R169" s="28"/>
      <c r="S169" s="28"/>
      <c r="T169" s="28"/>
      <c r="AG169" s="29"/>
      <c r="AU169" s="28"/>
      <c r="AV169" s="28"/>
      <c r="BG169" s="28"/>
      <c r="BJ169" s="28"/>
      <c r="BK169" s="28"/>
      <c r="BL169" s="28"/>
    </row>
    <row r="170" spans="3:111" x14ac:dyDescent="0.35">
      <c r="C170" s="29"/>
      <c r="AG170" s="29"/>
      <c r="BG170" s="28"/>
    </row>
    <row r="171" spans="3:111" x14ac:dyDescent="0.35">
      <c r="C171" s="29"/>
      <c r="AG171" s="29"/>
      <c r="BG171" s="28"/>
    </row>
    <row r="172" spans="3:111" x14ac:dyDescent="0.35">
      <c r="C172" s="29"/>
      <c r="AG172" s="29"/>
      <c r="BG172" s="28"/>
    </row>
    <row r="173" spans="3:111" x14ac:dyDescent="0.35">
      <c r="C173" s="29"/>
      <c r="AG173" s="29"/>
    </row>
    <row r="174" spans="3:111" x14ac:dyDescent="0.35">
      <c r="C174" s="29"/>
      <c r="AG174" s="29"/>
    </row>
    <row r="175" spans="3:111" x14ac:dyDescent="0.35">
      <c r="C175" s="29"/>
      <c r="AG175" s="29"/>
    </row>
    <row r="176" spans="3:111" x14ac:dyDescent="0.35">
      <c r="C176" s="29"/>
      <c r="AG176" s="29"/>
    </row>
    <row r="177" spans="3:64" x14ac:dyDescent="0.35">
      <c r="C177" s="29"/>
      <c r="AG177" s="29"/>
    </row>
    <row r="178" spans="3:64" x14ac:dyDescent="0.35">
      <c r="C178" s="29"/>
      <c r="AG178" s="29"/>
    </row>
    <row r="179" spans="3:64" x14ac:dyDescent="0.35">
      <c r="C179" s="29"/>
      <c r="AG179" s="29"/>
    </row>
    <row r="180" spans="3:64" x14ac:dyDescent="0.35"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</row>
    <row r="182" spans="3:64" x14ac:dyDescent="0.35">
      <c r="C182" s="29"/>
      <c r="AG182" s="29"/>
    </row>
    <row r="183" spans="3:64" x14ac:dyDescent="0.35">
      <c r="C183" s="29"/>
      <c r="AG183" s="29"/>
    </row>
    <row r="184" spans="3:64" x14ac:dyDescent="0.35">
      <c r="C184" s="29"/>
      <c r="Q184" s="28"/>
      <c r="R184" s="28"/>
      <c r="S184" s="28"/>
      <c r="T184" s="28"/>
      <c r="AG184" s="29"/>
      <c r="AU184" s="28"/>
      <c r="AV184" s="28"/>
      <c r="AW184" s="28"/>
      <c r="AX184" s="28"/>
      <c r="BJ184" s="28"/>
      <c r="BK184" s="28"/>
      <c r="BL184" s="28"/>
    </row>
    <row r="185" spans="3:64" x14ac:dyDescent="0.35">
      <c r="C185" s="29"/>
      <c r="AG185" s="29"/>
    </row>
    <row r="186" spans="3:64" x14ac:dyDescent="0.35">
      <c r="C186" s="29"/>
      <c r="AG186" s="29"/>
    </row>
    <row r="187" spans="3:64" x14ac:dyDescent="0.35">
      <c r="C187" s="29"/>
      <c r="AG187" s="29"/>
    </row>
    <row r="188" spans="3:64" x14ac:dyDescent="0.35">
      <c r="C188" s="29"/>
      <c r="AG188" s="29"/>
    </row>
    <row r="189" spans="3:64" x14ac:dyDescent="0.35">
      <c r="C189" s="29"/>
      <c r="AG189" s="29"/>
    </row>
    <row r="190" spans="3:64" x14ac:dyDescent="0.35">
      <c r="C190" s="29"/>
      <c r="AG190" s="29"/>
    </row>
    <row r="191" spans="3:64" x14ac:dyDescent="0.35">
      <c r="C191" s="29"/>
      <c r="AG191" s="29"/>
    </row>
    <row r="192" spans="3:64" x14ac:dyDescent="0.35">
      <c r="C192" s="29"/>
      <c r="AG192" s="29"/>
    </row>
    <row r="193" spans="3:33" x14ac:dyDescent="0.35">
      <c r="C193" s="29"/>
      <c r="AG193" s="29"/>
    </row>
    <row r="194" spans="3:33" x14ac:dyDescent="0.35">
      <c r="C194" s="29"/>
      <c r="AG194" s="29"/>
    </row>
    <row r="357" spans="1:74" s="28" customFormat="1" x14ac:dyDescent="0.35">
      <c r="A357"/>
      <c r="B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</row>
    <row r="358" spans="1:74" s="28" customFormat="1" x14ac:dyDescent="0.35">
      <c r="A358"/>
      <c r="B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</row>
    <row r="359" spans="1:74" s="28" customFormat="1" x14ac:dyDescent="0.35">
      <c r="A359"/>
      <c r="B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</row>
    <row r="360" spans="1:74" s="28" customFormat="1" x14ac:dyDescent="0.35">
      <c r="A360"/>
      <c r="B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</row>
    <row r="361" spans="1:74" s="28" customFormat="1" x14ac:dyDescent="0.35">
      <c r="A361"/>
      <c r="B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</row>
    <row r="362" spans="1:74" s="28" customFormat="1" x14ac:dyDescent="0.35">
      <c r="A362"/>
      <c r="B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</row>
    <row r="363" spans="1:74" s="28" customFormat="1" x14ac:dyDescent="0.35">
      <c r="A363"/>
      <c r="B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</row>
    <row r="364" spans="1:74" s="28" customFormat="1" x14ac:dyDescent="0.35">
      <c r="A364"/>
      <c r="B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</row>
    <row r="365" spans="1:74" s="28" customFormat="1" x14ac:dyDescent="0.35">
      <c r="A365"/>
      <c r="B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</row>
    <row r="366" spans="1:74" s="28" customFormat="1" x14ac:dyDescent="0.35">
      <c r="A366"/>
      <c r="B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</row>
    <row r="367" spans="1:74" s="28" customFormat="1" x14ac:dyDescent="0.35">
      <c r="A367"/>
      <c r="B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</row>
    <row r="368" spans="1:74" s="28" customFormat="1" x14ac:dyDescent="0.35">
      <c r="A368"/>
      <c r="B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</row>
    <row r="369" spans="1:74" s="28" customFormat="1" x14ac:dyDescent="0.35">
      <c r="A369"/>
      <c r="B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</row>
    <row r="370" spans="1:74" s="28" customFormat="1" x14ac:dyDescent="0.35">
      <c r="A370"/>
      <c r="B370" s="29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 s="29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</row>
    <row r="371" spans="1:74" s="28" customFormat="1" x14ac:dyDescent="0.35">
      <c r="A371"/>
      <c r="B371" s="29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 s="29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</row>
    <row r="372" spans="1:74" s="28" customFormat="1" x14ac:dyDescent="0.35">
      <c r="A372"/>
      <c r="B372" s="29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 s="29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</row>
    <row r="373" spans="1:74" x14ac:dyDescent="0.35">
      <c r="B373" s="29"/>
      <c r="AF373" s="29"/>
    </row>
    <row r="374" spans="1:74" x14ac:dyDescent="0.35">
      <c r="A374" s="29"/>
      <c r="B374" s="29"/>
      <c r="AF374" s="29"/>
    </row>
    <row r="375" spans="1:74" x14ac:dyDescent="0.35">
      <c r="A375" s="29"/>
      <c r="B375" s="29"/>
      <c r="AF375" s="29"/>
    </row>
    <row r="376" spans="1:74" x14ac:dyDescent="0.35">
      <c r="A376" s="29"/>
      <c r="B376" s="29"/>
      <c r="AF376" s="29"/>
    </row>
    <row r="377" spans="1:74" x14ac:dyDescent="0.35">
      <c r="A377" s="29"/>
      <c r="B377" s="29"/>
      <c r="AF377" s="29"/>
    </row>
    <row r="378" spans="1:74" x14ac:dyDescent="0.35">
      <c r="A378" s="29"/>
      <c r="B378" s="29"/>
      <c r="AF378" s="29"/>
    </row>
    <row r="379" spans="1:74" x14ac:dyDescent="0.35">
      <c r="A379" s="29"/>
      <c r="B379" s="29"/>
      <c r="C379" s="29"/>
      <c r="AF379" s="29"/>
      <c r="AG379" s="29"/>
    </row>
    <row r="380" spans="1:74" x14ac:dyDescent="0.35">
      <c r="A380" s="29"/>
      <c r="B380" s="29"/>
      <c r="C380" s="29"/>
      <c r="AF380" s="29"/>
      <c r="AG380" s="29"/>
    </row>
    <row r="381" spans="1:74" x14ac:dyDescent="0.35">
      <c r="A381" s="29"/>
      <c r="B381" s="29"/>
      <c r="C381" s="29"/>
      <c r="AF381" s="29"/>
      <c r="AG381" s="29"/>
    </row>
    <row r="382" spans="1:74" x14ac:dyDescent="0.35">
      <c r="A382" s="29"/>
      <c r="B382" s="29"/>
      <c r="C382" s="29"/>
      <c r="AF382" s="29"/>
      <c r="AG382" s="29"/>
    </row>
    <row r="383" spans="1:74" x14ac:dyDescent="0.35">
      <c r="A383" s="29"/>
      <c r="B383" s="29"/>
      <c r="C383" s="29"/>
      <c r="AF383" s="29"/>
      <c r="AG383" s="29"/>
    </row>
    <row r="384" spans="1:74" x14ac:dyDescent="0.35">
      <c r="A384" s="29"/>
      <c r="B384" s="29"/>
      <c r="C384" s="29"/>
      <c r="AF384" s="29"/>
      <c r="AG384" s="29"/>
    </row>
    <row r="385" spans="1:33" x14ac:dyDescent="0.35">
      <c r="A385" s="29"/>
      <c r="B385" s="29"/>
      <c r="C385" s="29"/>
      <c r="AF385" s="29"/>
      <c r="AG385" s="29"/>
    </row>
    <row r="386" spans="1:33" x14ac:dyDescent="0.35">
      <c r="A386" s="29"/>
      <c r="B386" s="29"/>
      <c r="C386" s="29"/>
      <c r="AF386" s="29"/>
      <c r="AG386" s="29"/>
    </row>
    <row r="387" spans="1:33" x14ac:dyDescent="0.35">
      <c r="A387" s="29"/>
      <c r="B387" s="29"/>
      <c r="C387" s="29"/>
      <c r="AF387" s="29"/>
      <c r="AG387" s="29"/>
    </row>
    <row r="388" spans="1:33" x14ac:dyDescent="0.35">
      <c r="A388" s="29"/>
      <c r="B388" s="29"/>
      <c r="C388" s="29"/>
      <c r="AF388" s="29"/>
      <c r="AG388" s="29"/>
    </row>
    <row r="389" spans="1:33" x14ac:dyDescent="0.35">
      <c r="A389" s="29"/>
      <c r="C389" s="29"/>
      <c r="AG389" s="29"/>
    </row>
    <row r="390" spans="1:33" x14ac:dyDescent="0.35">
      <c r="A390" s="29"/>
      <c r="C390" s="29"/>
      <c r="AG390" s="29"/>
    </row>
    <row r="391" spans="1:33" x14ac:dyDescent="0.35">
      <c r="A391" s="29"/>
      <c r="C391" s="29"/>
      <c r="AG391" s="29"/>
    </row>
    <row r="392" spans="1:33" x14ac:dyDescent="0.35">
      <c r="A392" s="29"/>
      <c r="C392" s="29"/>
      <c r="AG392" s="29"/>
    </row>
    <row r="393" spans="1:33" x14ac:dyDescent="0.35">
      <c r="C393" s="29"/>
      <c r="AG393" s="29"/>
    </row>
    <row r="394" spans="1:33" x14ac:dyDescent="0.35">
      <c r="C394" s="29"/>
      <c r="AG394" s="29"/>
    </row>
    <row r="395" spans="1:33" x14ac:dyDescent="0.35">
      <c r="C395" s="29"/>
      <c r="AG395" s="29"/>
    </row>
    <row r="396" spans="1:33" x14ac:dyDescent="0.35">
      <c r="C396" s="29"/>
      <c r="AG396" s="29"/>
    </row>
    <row r="397" spans="1:33" x14ac:dyDescent="0.35">
      <c r="C397" s="29"/>
      <c r="AG397" s="29"/>
    </row>
    <row r="405" spans="1:74" s="29" customFormat="1" x14ac:dyDescent="0.35">
      <c r="A405"/>
      <c r="B405"/>
      <c r="C405" s="28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 s="28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</row>
    <row r="406" spans="1:74" s="29" customFormat="1" x14ac:dyDescent="0.35">
      <c r="A406"/>
      <c r="B406"/>
      <c r="C406" s="28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 s="28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</row>
    <row r="407" spans="1:74" s="29" customFormat="1" x14ac:dyDescent="0.35">
      <c r="A407"/>
      <c r="B407"/>
      <c r="C407" s="28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 s="28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</row>
    <row r="408" spans="1:74" s="29" customFormat="1" x14ac:dyDescent="0.35">
      <c r="A408"/>
      <c r="B408"/>
      <c r="C408" s="2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 s="2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</row>
    <row r="409" spans="1:74" s="29" customFormat="1" x14ac:dyDescent="0.35">
      <c r="A409"/>
      <c r="B409"/>
      <c r="C409" s="28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 s="28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</row>
    <row r="410" spans="1:74" s="29" customFormat="1" x14ac:dyDescent="0.35">
      <c r="A410"/>
      <c r="B410"/>
      <c r="C410" s="28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 s="28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</row>
    <row r="411" spans="1:74" s="29" customFormat="1" x14ac:dyDescent="0.35">
      <c r="A411"/>
      <c r="B411"/>
      <c r="C411" s="28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 s="28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</row>
  </sheetData>
  <mergeCells count="15">
    <mergeCell ref="B21:B34"/>
    <mergeCell ref="AF21:AF34"/>
    <mergeCell ref="B3:AC3"/>
    <mergeCell ref="AF3:BG3"/>
    <mergeCell ref="BI3:BU3"/>
    <mergeCell ref="B7:B20"/>
    <mergeCell ref="AF7:AF20"/>
    <mergeCell ref="B83:B96"/>
    <mergeCell ref="AF83:AF96"/>
    <mergeCell ref="B38:B51"/>
    <mergeCell ref="AF38:AF51"/>
    <mergeCell ref="B52:B65"/>
    <mergeCell ref="AF52:AF65"/>
    <mergeCell ref="B69:B82"/>
    <mergeCell ref="AF69:AF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Table_1 Parameters P_I Curve</vt:lpstr>
      <vt:lpstr>Table_2 Parameters ETR_I Curve</vt:lpstr>
      <vt:lpstr>Table_3 Parameters ETR_I Curve</vt:lpstr>
      <vt:lpstr>Figure 1_Curves A_I</vt:lpstr>
      <vt:lpstr>Figure 2_Curves ETR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Martos de la Fuente</dc:creator>
  <cp:lastModifiedBy>UJA</cp:lastModifiedBy>
  <dcterms:created xsi:type="dcterms:W3CDTF">2023-09-20T10:05:41Z</dcterms:created>
  <dcterms:modified xsi:type="dcterms:W3CDTF">2023-09-28T17:23:34Z</dcterms:modified>
</cp:coreProperties>
</file>