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dhumpher\Dropbox\DOCUMENTS\Physics\MY ARTICLES\ALPHA\Supplementary Data\"/>
    </mc:Choice>
  </mc:AlternateContent>
  <xr:revisionPtr revIDLastSave="0" documentId="8_{72B6D8F0-7091-47B1-947E-6CA375FBECA7}" xr6:coauthVersionLast="47" xr6:coauthVersionMax="47" xr10:uidLastSave="{00000000-0000-0000-0000-000000000000}"/>
  <bookViews>
    <workbookView xWindow="-120" yWindow="-120" windowWidth="51840" windowHeight="21120" xr2:uid="{7F84BA16-5D9F-4602-A5A1-40DC0BDED347}"/>
  </bookViews>
  <sheets>
    <sheet name="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2" i="1" l="1"/>
  <c r="C371" i="1"/>
  <c r="C368" i="1"/>
  <c r="C367" i="1"/>
  <c r="C364" i="1"/>
  <c r="C363" i="1"/>
  <c r="L351" i="1"/>
  <c r="I351" i="1"/>
  <c r="E351" i="1"/>
  <c r="D351" i="1"/>
  <c r="F340" i="1"/>
  <c r="D340" i="1"/>
  <c r="D334" i="1"/>
  <c r="K351" i="1" s="1"/>
  <c r="G340" i="1" s="1"/>
  <c r="C322" i="1"/>
  <c r="E322" i="1" s="1"/>
  <c r="E321" i="1"/>
  <c r="C321" i="1"/>
  <c r="E319" i="1"/>
  <c r="C319" i="1"/>
  <c r="C291" i="1"/>
  <c r="D285" i="1"/>
  <c r="D281" i="1"/>
  <c r="D278" i="1"/>
  <c r="D276" i="1"/>
  <c r="J275" i="1"/>
  <c r="C263" i="1"/>
  <c r="F243" i="1"/>
  <c r="G243" i="1" s="1"/>
  <c r="C246" i="1" s="1"/>
  <c r="E243" i="1"/>
  <c r="F242" i="1"/>
  <c r="G240" i="1"/>
  <c r="F240" i="1"/>
  <c r="E240" i="1"/>
  <c r="F238" i="1"/>
  <c r="G230" i="1"/>
  <c r="E242" i="1" s="1"/>
  <c r="G242" i="1" s="1"/>
  <c r="E230" i="1"/>
  <c r="G229" i="1"/>
  <c r="E241" i="1" s="1"/>
  <c r="G241" i="1" s="1"/>
  <c r="E229" i="1"/>
  <c r="F241" i="1" s="1"/>
  <c r="E228" i="1"/>
  <c r="E227" i="1"/>
  <c r="F239" i="1" s="1"/>
  <c r="G226" i="1"/>
  <c r="E238" i="1" s="1"/>
  <c r="G238" i="1" s="1"/>
  <c r="E226" i="1"/>
  <c r="K200" i="1"/>
  <c r="J200" i="1"/>
  <c r="C200" i="1"/>
  <c r="C209" i="1" s="1"/>
  <c r="N199" i="1"/>
  <c r="K199" i="1"/>
  <c r="J199" i="1"/>
  <c r="C199" i="1" s="1"/>
  <c r="K198" i="1"/>
  <c r="N198" i="1" s="1"/>
  <c r="J198" i="1"/>
  <c r="C198" i="1" s="1"/>
  <c r="J188" i="1"/>
  <c r="J187" i="1"/>
  <c r="J186" i="1"/>
  <c r="C175" i="1"/>
  <c r="C174" i="1"/>
  <c r="C172" i="1"/>
  <c r="C171" i="1"/>
  <c r="C169" i="1"/>
  <c r="C168" i="1"/>
  <c r="C165" i="1"/>
  <c r="C161" i="1"/>
  <c r="D161" i="1" s="1"/>
  <c r="C160" i="1"/>
  <c r="D160" i="1" s="1"/>
  <c r="C159" i="1"/>
  <c r="F156" i="1"/>
  <c r="D156" i="1"/>
  <c r="K156" i="1" s="1"/>
  <c r="C156" i="1"/>
  <c r="J156" i="1" s="1"/>
  <c r="F155" i="1"/>
  <c r="D155" i="1"/>
  <c r="K155" i="1" s="1"/>
  <c r="C155" i="1"/>
  <c r="J155" i="1" s="1"/>
  <c r="F154" i="1"/>
  <c r="D154" i="1"/>
  <c r="K154" i="1" s="1"/>
  <c r="C154" i="1"/>
  <c r="J154" i="1" s="1"/>
  <c r="C139" i="1"/>
  <c r="D139" i="1" s="1"/>
  <c r="C138" i="1"/>
  <c r="C134" i="1"/>
  <c r="F99" i="1"/>
  <c r="G99" i="1" s="1"/>
  <c r="E99" i="1"/>
  <c r="C140" i="1" s="1"/>
  <c r="D140" i="1" s="1"/>
  <c r="H86" i="1"/>
  <c r="H87" i="1" s="1"/>
  <c r="E86" i="1"/>
  <c r="E87" i="1" s="1"/>
  <c r="E82" i="1"/>
  <c r="D82" i="1"/>
  <c r="H79" i="1"/>
  <c r="G79" i="1"/>
  <c r="J79" i="1" s="1"/>
  <c r="F79" i="1"/>
  <c r="E79" i="1"/>
  <c r="C82" i="1" s="1"/>
  <c r="D79" i="1"/>
  <c r="C131" i="1" s="1"/>
  <c r="C79" i="1"/>
  <c r="C99" i="1" s="1"/>
  <c r="C65" i="1"/>
  <c r="C66" i="1" s="1"/>
  <c r="C67" i="1" s="1"/>
  <c r="C59" i="1"/>
  <c r="C60" i="1" s="1"/>
  <c r="C50" i="1"/>
  <c r="C45" i="1"/>
  <c r="C47" i="1" s="1"/>
  <c r="C40" i="1"/>
  <c r="C41" i="1" s="1"/>
  <c r="C38" i="1"/>
  <c r="C39" i="1" s="1"/>
  <c r="C32" i="1"/>
  <c r="C31" i="1"/>
  <c r="C25" i="1"/>
  <c r="D25" i="1" s="1"/>
  <c r="C24" i="1"/>
  <c r="D24" i="1" s="1"/>
  <c r="C23" i="1"/>
  <c r="C21" i="1"/>
  <c r="D21" i="1" s="1"/>
  <c r="C20" i="1"/>
  <c r="D20" i="1" s="1"/>
  <c r="C19" i="1"/>
  <c r="C17" i="1"/>
  <c r="C16" i="1"/>
  <c r="D17" i="1" s="1"/>
  <c r="I10" i="1"/>
  <c r="C10" i="1"/>
  <c r="D280" i="1" s="1"/>
  <c r="C7" i="1"/>
  <c r="I5" i="1"/>
  <c r="D275" i="1" s="1"/>
  <c r="C62" i="1" l="1"/>
  <c r="C61" i="1"/>
  <c r="D102" i="1"/>
  <c r="C189" i="1"/>
  <c r="G189" i="1" s="1"/>
  <c r="E102" i="1"/>
  <c r="H82" i="1"/>
  <c r="C122" i="1"/>
  <c r="C124" i="1" s="1"/>
  <c r="H102" i="1"/>
  <c r="C107" i="1"/>
  <c r="E199" i="1"/>
  <c r="F199" i="1"/>
  <c r="F198" i="1"/>
  <c r="G198" i="1" s="1"/>
  <c r="C48" i="1"/>
  <c r="D47" i="1"/>
  <c r="D305" i="1"/>
  <c r="D283" i="1"/>
  <c r="B351" i="1"/>
  <c r="C46" i="1"/>
  <c r="D46" i="1" s="1"/>
  <c r="G82" i="1"/>
  <c r="E107" i="1"/>
  <c r="E154" i="1"/>
  <c r="E155" i="1"/>
  <c r="E156" i="1"/>
  <c r="D200" i="1"/>
  <c r="D209" i="1" s="1"/>
  <c r="M200" i="1"/>
  <c r="D309" i="1"/>
  <c r="I6" i="1"/>
  <c r="C259" i="1" s="1"/>
  <c r="G102" i="1"/>
  <c r="N200" i="1"/>
  <c r="I99" i="1"/>
  <c r="J102" i="1"/>
  <c r="G154" i="1"/>
  <c r="G155" i="1"/>
  <c r="G156" i="1"/>
  <c r="C207" i="1"/>
  <c r="C269" i="1"/>
  <c r="H279" i="1"/>
  <c r="D304" i="1"/>
  <c r="D306" i="1"/>
  <c r="D308" i="1"/>
  <c r="F351" i="1"/>
  <c r="G351" i="1" s="1"/>
  <c r="H351" i="1" s="1"/>
  <c r="D45" i="1"/>
  <c r="D279" i="1"/>
  <c r="I82" i="1"/>
  <c r="I79" i="1"/>
  <c r="J82" i="1"/>
  <c r="J99" i="1"/>
  <c r="C103" i="1"/>
  <c r="H154" i="1"/>
  <c r="H155" i="1"/>
  <c r="H156" i="1"/>
  <c r="C164" i="1"/>
  <c r="D165" i="1" s="1"/>
  <c r="K186" i="1"/>
  <c r="E186" i="1" s="1"/>
  <c r="F186" i="1" s="1"/>
  <c r="H186" i="1" s="1"/>
  <c r="K187" i="1"/>
  <c r="E187" i="1" s="1"/>
  <c r="F187" i="1" s="1"/>
  <c r="H187" i="1" s="1"/>
  <c r="K188" i="1"/>
  <c r="E188" i="1" s="1"/>
  <c r="F188" i="1" s="1"/>
  <c r="H188" i="1" s="1"/>
  <c r="E198" i="1"/>
  <c r="G227" i="1"/>
  <c r="E239" i="1" s="1"/>
  <c r="G239" i="1" s="1"/>
  <c r="D284" i="1"/>
  <c r="C320" i="1"/>
  <c r="E320" i="1" s="1"/>
  <c r="D303" i="1"/>
  <c r="H99" i="1"/>
  <c r="E200" i="1"/>
  <c r="D277" i="1"/>
  <c r="C86" i="1"/>
  <c r="C87" i="1" s="1"/>
  <c r="D103" i="1"/>
  <c r="E122" i="1"/>
  <c r="E124" i="1" s="1"/>
  <c r="C186" i="1"/>
  <c r="G186" i="1" s="1"/>
  <c r="C188" i="1"/>
  <c r="G188" i="1" s="1"/>
  <c r="L199" i="1"/>
  <c r="D282" i="1"/>
  <c r="D302" i="1"/>
  <c r="D307" i="1"/>
  <c r="C5" i="1"/>
  <c r="D86" i="1"/>
  <c r="D87" i="1" s="1"/>
  <c r="D188" i="1"/>
  <c r="D189" i="1"/>
  <c r="F189" i="1" s="1"/>
  <c r="H189" i="1" s="1"/>
  <c r="M199" i="1"/>
  <c r="M351" i="1" l="1"/>
  <c r="E340" i="1"/>
  <c r="H340" i="1" s="1"/>
  <c r="J351" i="1"/>
  <c r="C377" i="1"/>
  <c r="L308" i="1"/>
  <c r="L306" i="1"/>
  <c r="L304" i="1"/>
  <c r="H302" i="1"/>
  <c r="H282" i="1"/>
  <c r="C260" i="1"/>
  <c r="D260" i="1" s="1"/>
  <c r="L305" i="1"/>
  <c r="C376" i="1"/>
  <c r="C365" i="1"/>
  <c r="J308" i="1"/>
  <c r="J306" i="1"/>
  <c r="J304" i="1"/>
  <c r="H284" i="1"/>
  <c r="L307" i="1"/>
  <c r="L303" i="1"/>
  <c r="H278" i="1"/>
  <c r="C375" i="1"/>
  <c r="J277" i="1"/>
  <c r="C373" i="1"/>
  <c r="H281" i="1"/>
  <c r="J283" i="1"/>
  <c r="L309" i="1"/>
  <c r="J307" i="1"/>
  <c r="J305" i="1"/>
  <c r="J303" i="1"/>
  <c r="H283" i="1"/>
  <c r="H276" i="1"/>
  <c r="C264" i="1"/>
  <c r="D264" i="1" s="1"/>
  <c r="C369" i="1"/>
  <c r="H285" i="1"/>
  <c r="J280" i="1"/>
  <c r="J278" i="1"/>
  <c r="H280" i="1"/>
  <c r="C292" i="1"/>
  <c r="D292" i="1" s="1"/>
  <c r="J279" i="1"/>
  <c r="H277" i="1"/>
  <c r="C270" i="1"/>
  <c r="D270" i="1" s="1"/>
  <c r="F207" i="1"/>
  <c r="G199" i="1"/>
  <c r="G207" i="1" s="1"/>
  <c r="C187" i="1"/>
  <c r="E207" i="1"/>
  <c r="H207" i="1"/>
  <c r="H199" i="1"/>
  <c r="I207" i="1"/>
  <c r="E209" i="1"/>
  <c r="H209" i="1"/>
  <c r="L198" i="1"/>
  <c r="H198" i="1" s="1"/>
  <c r="D198" i="1"/>
  <c r="F200" i="1"/>
  <c r="L200" i="1"/>
  <c r="D199" i="1"/>
  <c r="D207" i="1" s="1"/>
  <c r="D186" i="1"/>
  <c r="F122" i="1"/>
  <c r="F124" i="1" s="1"/>
  <c r="D99" i="1"/>
  <c r="H107" i="1"/>
  <c r="M198" i="1"/>
  <c r="E108" i="1"/>
  <c r="C114" i="1"/>
  <c r="C108" i="1"/>
  <c r="C112" i="1"/>
  <c r="L284" i="1" l="1"/>
  <c r="H308" i="1"/>
  <c r="H306" i="1"/>
  <c r="H304" i="1"/>
  <c r="L281" i="1"/>
  <c r="L283" i="1"/>
  <c r="L282" i="1"/>
  <c r="L285" i="1"/>
  <c r="L280" i="1"/>
  <c r="H309" i="1"/>
  <c r="H307" i="1"/>
  <c r="H305" i="1"/>
  <c r="H303" i="1"/>
  <c r="L277" i="1"/>
  <c r="L279" i="1"/>
  <c r="L278" i="1"/>
  <c r="F209" i="1"/>
  <c r="G200" i="1"/>
  <c r="G209" i="1" s="1"/>
  <c r="G187" i="1"/>
  <c r="D187" i="1"/>
  <c r="H108" i="1"/>
  <c r="C115" i="1" s="1"/>
  <c r="C128" i="1"/>
  <c r="E103" i="1"/>
  <c r="C102" i="1"/>
  <c r="D122" i="1"/>
  <c r="D124" i="1" s="1"/>
  <c r="I102" i="1"/>
  <c r="D107" i="1"/>
  <c r="H200" i="1"/>
  <c r="I209" i="1"/>
  <c r="D108" i="1" l="1"/>
  <c r="C127" i="1"/>
  <c r="C113" i="1" l="1"/>
  <c r="C133" i="1"/>
  <c r="C135" i="1" s="1"/>
  <c r="C130" i="1" s="1"/>
</calcChain>
</file>

<file path=xl/sharedStrings.xml><?xml version="1.0" encoding="utf-8"?>
<sst xmlns="http://schemas.openxmlformats.org/spreadsheetml/2006/main" count="553" uniqueCount="356">
  <si>
    <t>Planck length</t>
  </si>
  <si>
    <t>reduced electron Compton wavelength</t>
  </si>
  <si>
    <t>Fine-structure</t>
  </si>
  <si>
    <t>Planck mass</t>
  </si>
  <si>
    <t>electron mass</t>
  </si>
  <si>
    <t>elementary charge</t>
  </si>
  <si>
    <t>Planck time</t>
  </si>
  <si>
    <t>reduced muon Compton wavelength</t>
  </si>
  <si>
    <t>vacuum magnetic permeability</t>
  </si>
  <si>
    <t>Planck charge</t>
  </si>
  <si>
    <t>muon mass</t>
  </si>
  <si>
    <t>vacuum electric permittivity</t>
  </si>
  <si>
    <t>Planck energy</t>
  </si>
  <si>
    <t>reduced tau Compton wavelength</t>
  </si>
  <si>
    <t>coulomb constant</t>
  </si>
  <si>
    <t>Planck force</t>
  </si>
  <si>
    <t>tau mass</t>
  </si>
  <si>
    <t>Hyperfine transition frequency</t>
  </si>
  <si>
    <t>Speed of light</t>
  </si>
  <si>
    <t>Solar mass</t>
  </si>
  <si>
    <t>Bohr radius</t>
  </si>
  <si>
    <t>Planck constant</t>
  </si>
  <si>
    <t>Solar radius</t>
  </si>
  <si>
    <t>Rydberg constant</t>
  </si>
  <si>
    <t>Reduced Planck constant</t>
  </si>
  <si>
    <t>Stefan-Boltzmann constant</t>
  </si>
  <si>
    <t>Gravitational constant</t>
  </si>
  <si>
    <t>Boltzmann constant</t>
  </si>
  <si>
    <t>1 Introduction</t>
  </si>
  <si>
    <t>c</t>
  </si>
  <si>
    <r>
      <t>l</t>
    </r>
    <r>
      <rPr>
        <i/>
        <vertAlign val="subscript"/>
        <sz val="11"/>
        <color theme="1" tint="0.249977111117893"/>
        <rFont val="Calibri"/>
        <family val="2"/>
        <scheme val="minor"/>
      </rPr>
      <t>P</t>
    </r>
    <r>
      <rPr>
        <i/>
        <sz val="11"/>
        <color theme="1" tint="0.249977111117893"/>
        <rFont val="Calibri"/>
        <family val="2"/>
        <scheme val="minor"/>
      </rPr>
      <t xml:space="preserve"> / t</t>
    </r>
    <r>
      <rPr>
        <i/>
        <vertAlign val="subscript"/>
        <sz val="11"/>
        <color theme="1" tint="0.249977111117893"/>
        <rFont val="Calibri"/>
        <family val="2"/>
        <scheme val="minor"/>
      </rPr>
      <t>P</t>
    </r>
  </si>
  <si>
    <t>ℏ</t>
  </si>
  <si>
    <r>
      <t>l</t>
    </r>
    <r>
      <rPr>
        <i/>
        <vertAlign val="subscript"/>
        <sz val="11"/>
        <color theme="1" tint="0.249977111117893"/>
        <rFont val="Calibri"/>
        <family val="2"/>
        <scheme val="minor"/>
      </rPr>
      <t>P</t>
    </r>
    <r>
      <rPr>
        <i/>
        <sz val="11"/>
        <color theme="1" tint="0.249977111117893"/>
        <rFont val="Calibri"/>
        <family val="2"/>
        <scheme val="minor"/>
      </rPr>
      <t xml:space="preserve"> m</t>
    </r>
    <r>
      <rPr>
        <i/>
        <vertAlign val="subscript"/>
        <sz val="11"/>
        <color theme="1" tint="0.249977111117893"/>
        <rFont val="Calibri"/>
        <family val="2"/>
        <scheme val="minor"/>
      </rPr>
      <t>P</t>
    </r>
    <r>
      <rPr>
        <i/>
        <sz val="11"/>
        <color theme="1" tint="0.249977111117893"/>
        <rFont val="Calibri"/>
        <family val="2"/>
        <scheme val="minor"/>
      </rPr>
      <t xml:space="preserve"> c</t>
    </r>
  </si>
  <si>
    <r>
      <t>l</t>
    </r>
    <r>
      <rPr>
        <vertAlign val="subscript"/>
        <sz val="11"/>
        <color theme="1" tint="0.249977111117893"/>
        <rFont val="Calibri"/>
        <family val="2"/>
        <scheme val="minor"/>
      </rPr>
      <t>P</t>
    </r>
    <r>
      <rPr>
        <vertAlign val="superscript"/>
        <sz val="11"/>
        <color theme="1" tint="0.249977111117893"/>
        <rFont val="Calibri"/>
        <family val="2"/>
        <scheme val="minor"/>
      </rPr>
      <t>2</t>
    </r>
    <r>
      <rPr>
        <sz val="11"/>
        <color theme="1" tint="0.249977111117893"/>
        <rFont val="Calibri"/>
        <family val="2"/>
        <scheme val="minor"/>
      </rPr>
      <t xml:space="preserve"> m</t>
    </r>
    <r>
      <rPr>
        <vertAlign val="subscript"/>
        <sz val="11"/>
        <color theme="1" tint="0.249977111117893"/>
        <rFont val="Calibri"/>
        <family val="2"/>
        <scheme val="minor"/>
      </rPr>
      <t>P</t>
    </r>
    <r>
      <rPr>
        <sz val="11"/>
        <color theme="1" tint="0.249977111117893"/>
        <rFont val="Calibri"/>
        <family val="2"/>
        <scheme val="minor"/>
      </rPr>
      <t xml:space="preserve"> / t</t>
    </r>
    <r>
      <rPr>
        <vertAlign val="subscript"/>
        <sz val="11"/>
        <color theme="1" tint="0.249977111117893"/>
        <rFont val="Calibri"/>
        <family val="2"/>
        <scheme val="minor"/>
      </rPr>
      <t>P</t>
    </r>
  </si>
  <si>
    <t>G</t>
  </si>
  <si>
    <r>
      <t>(l</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P</t>
    </r>
    <r>
      <rPr>
        <i/>
        <sz val="11"/>
        <color theme="1" tint="0.249977111117893"/>
        <rFont val="Calibri"/>
        <family val="2"/>
        <scheme val="minor"/>
      </rPr>
      <t xml:space="preserve"> ) c</t>
    </r>
    <r>
      <rPr>
        <i/>
        <vertAlign val="superscript"/>
        <sz val="11"/>
        <color theme="1" tint="0.249977111117893"/>
        <rFont val="Calibri"/>
        <family val="2"/>
        <scheme val="minor"/>
      </rPr>
      <t>2</t>
    </r>
  </si>
  <si>
    <r>
      <t>l</t>
    </r>
    <r>
      <rPr>
        <i/>
        <vertAlign val="subscript"/>
        <sz val="11"/>
        <color theme="1" tint="0.249977111117893"/>
        <rFont val="Calibri"/>
        <family val="2"/>
        <scheme val="minor"/>
      </rPr>
      <t>P</t>
    </r>
    <r>
      <rPr>
        <i/>
        <vertAlign val="superscript"/>
        <sz val="11"/>
        <color theme="1" tint="0.249977111117893"/>
        <rFont val="Calibri"/>
        <family val="2"/>
        <scheme val="minor"/>
      </rPr>
      <t>3</t>
    </r>
    <r>
      <rPr>
        <i/>
        <sz val="11"/>
        <color theme="1" tint="0.249977111117893"/>
        <rFont val="Calibri"/>
        <family val="2"/>
        <scheme val="minor"/>
      </rPr>
      <t xml:space="preserve"> / m</t>
    </r>
    <r>
      <rPr>
        <i/>
        <vertAlign val="subscript"/>
        <sz val="11"/>
        <color theme="1" tint="0.249977111117893"/>
        <rFont val="Calibri"/>
        <family val="2"/>
        <scheme val="minor"/>
      </rPr>
      <t>P</t>
    </r>
    <r>
      <rPr>
        <i/>
        <sz val="11"/>
        <color theme="1" tint="0.249977111117893"/>
        <rFont val="Calibri"/>
        <family val="2"/>
        <scheme val="minor"/>
      </rPr>
      <t xml:space="preserve"> t</t>
    </r>
    <r>
      <rPr>
        <i/>
        <vertAlign val="subscript"/>
        <sz val="11"/>
        <color theme="1" tint="0.249977111117893"/>
        <rFont val="Calibri"/>
        <family val="2"/>
        <scheme val="minor"/>
      </rPr>
      <t>P</t>
    </r>
    <r>
      <rPr>
        <i/>
        <vertAlign val="superscript"/>
        <sz val="11"/>
        <color theme="1" tint="0.249977111117893"/>
        <rFont val="Calibri"/>
        <family val="2"/>
        <scheme val="minor"/>
      </rPr>
      <t>2</t>
    </r>
  </si>
  <si>
    <t>1.1 The natural unit scale</t>
  </si>
  <si>
    <r>
      <t>ƛ</t>
    </r>
    <r>
      <rPr>
        <i/>
        <vertAlign val="subscript"/>
        <sz val="11"/>
        <color theme="1" tint="0.249977111117893"/>
        <rFont val="Calibri"/>
        <family val="2"/>
        <scheme val="minor"/>
      </rPr>
      <t>C</t>
    </r>
    <r>
      <rPr>
        <i/>
        <sz val="11"/>
        <color theme="1" tint="0.249977111117893"/>
        <rFont val="Calibri"/>
        <family val="2"/>
        <scheme val="minor"/>
      </rPr>
      <t xml:space="preserve"> / l</t>
    </r>
    <r>
      <rPr>
        <i/>
        <vertAlign val="subscript"/>
        <sz val="11"/>
        <color theme="1" tint="0.249977111117893"/>
        <rFont val="Calibri"/>
        <family val="2"/>
        <scheme val="minor"/>
      </rPr>
      <t>P</t>
    </r>
  </si>
  <si>
    <r>
      <t>m</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0</t>
    </r>
  </si>
  <si>
    <t>2.1 Independent units of measure</t>
  </si>
  <si>
    <r>
      <t>T = 1 / Δv</t>
    </r>
    <r>
      <rPr>
        <i/>
        <vertAlign val="subscript"/>
        <sz val="11"/>
        <color theme="1" tint="0.249977111117893"/>
        <rFont val="Calibri"/>
        <family val="2"/>
        <scheme val="minor"/>
      </rPr>
      <t>Cs</t>
    </r>
  </si>
  <si>
    <t>s</t>
  </si>
  <si>
    <r>
      <t>T / t</t>
    </r>
    <r>
      <rPr>
        <i/>
        <vertAlign val="subscript"/>
        <sz val="11"/>
        <color theme="1" tint="0.249977111117893"/>
        <rFont val="Calibri"/>
        <family val="2"/>
        <scheme val="minor"/>
      </rPr>
      <t>P</t>
    </r>
  </si>
  <si>
    <t>T</t>
  </si>
  <si>
    <r>
      <t>λ = c / Δv</t>
    </r>
    <r>
      <rPr>
        <i/>
        <vertAlign val="subscript"/>
        <sz val="11"/>
        <color theme="1" tint="0.249977111117893"/>
        <rFont val="Calibri"/>
        <family val="2"/>
        <scheme val="minor"/>
      </rPr>
      <t>Cs</t>
    </r>
  </si>
  <si>
    <t>m</t>
  </si>
  <si>
    <r>
      <rPr>
        <i/>
        <sz val="11"/>
        <color theme="1" tint="0.249977111117893"/>
        <rFont val="Calibri"/>
        <family val="2"/>
      </rPr>
      <t>λ</t>
    </r>
    <r>
      <rPr>
        <i/>
        <sz val="11"/>
        <color theme="1" tint="0.249977111117893"/>
        <rFont val="Calibri"/>
        <family val="2"/>
        <scheme val="minor"/>
      </rPr>
      <t xml:space="preserve"> / l</t>
    </r>
    <r>
      <rPr>
        <i/>
        <vertAlign val="subscript"/>
        <sz val="11"/>
        <color theme="1" tint="0.249977111117893"/>
        <rFont val="Calibri"/>
        <family val="2"/>
        <scheme val="minor"/>
      </rPr>
      <t>P</t>
    </r>
  </si>
  <si>
    <t>L</t>
  </si>
  <si>
    <t>If we redefine the meter as precisely one-half its present-day value, the natural unit length of the hyperfine transition radiation remains unchanged</t>
  </si>
  <si>
    <t>1 m' = .5m</t>
  </si>
  <si>
    <t>c'</t>
  </si>
  <si>
    <r>
      <t>l</t>
    </r>
    <r>
      <rPr>
        <i/>
        <vertAlign val="subscript"/>
        <sz val="11"/>
        <color theme="1" tint="0.249977111117893"/>
        <rFont val="Calibri"/>
        <family val="2"/>
        <scheme val="minor"/>
      </rPr>
      <t>P</t>
    </r>
    <r>
      <rPr>
        <i/>
        <sz val="11"/>
        <color theme="1" tint="0.249977111117893"/>
        <rFont val="Calibri"/>
        <family val="2"/>
        <scheme val="minor"/>
      </rPr>
      <t>'</t>
    </r>
  </si>
  <si>
    <t>λ'</t>
  </si>
  <si>
    <r>
      <rPr>
        <i/>
        <sz val="11"/>
        <color theme="1" tint="0.249977111117893"/>
        <rFont val="Calibri"/>
        <family val="2"/>
      </rPr>
      <t>λ'</t>
    </r>
    <r>
      <rPr>
        <i/>
        <sz val="11"/>
        <color theme="1" tint="0.249977111117893"/>
        <rFont val="Calibri"/>
        <family val="2"/>
        <scheme val="minor"/>
      </rPr>
      <t xml:space="preserve"> / l</t>
    </r>
    <r>
      <rPr>
        <i/>
        <vertAlign val="subscript"/>
        <sz val="11"/>
        <color theme="1" tint="0.249977111117893"/>
        <rFont val="Calibri"/>
        <family val="2"/>
        <scheme val="minor"/>
      </rPr>
      <t>P</t>
    </r>
    <r>
      <rPr>
        <i/>
        <sz val="11"/>
        <color theme="1" tint="0.249977111117893"/>
        <rFont val="Calibri"/>
        <family val="2"/>
        <scheme val="minor"/>
      </rPr>
      <t>'</t>
    </r>
  </si>
  <si>
    <t>1/ c</t>
  </si>
  <si>
    <t>2.2 Arbitrary unit systems</t>
  </si>
  <si>
    <t>If we redefine the second as the time it takes light to travel one meter, then the Planck length and Planck time will be equal, and the universal constants would be…</t>
  </si>
  <si>
    <r>
      <t>t</t>
    </r>
    <r>
      <rPr>
        <i/>
        <vertAlign val="subscript"/>
        <sz val="11"/>
        <color theme="1" tint="0.249977111117893"/>
        <rFont val="Calibri"/>
        <family val="2"/>
        <scheme val="minor"/>
      </rPr>
      <t>P</t>
    </r>
    <r>
      <rPr>
        <i/>
        <sz val="11"/>
        <color theme="1" tint="0.249977111117893"/>
        <rFont val="Calibri"/>
        <family val="2"/>
        <scheme val="minor"/>
      </rPr>
      <t>'</t>
    </r>
  </si>
  <si>
    <t>s'</t>
  </si>
  <si>
    <r>
      <t>t</t>
    </r>
    <r>
      <rPr>
        <i/>
        <vertAlign val="subscript"/>
        <sz val="11"/>
        <color theme="1" tint="0.249977111117893"/>
        <rFont val="Calibri"/>
        <family val="2"/>
        <scheme val="minor"/>
      </rPr>
      <t>P</t>
    </r>
    <r>
      <rPr>
        <i/>
        <sz val="11"/>
        <color theme="1" tint="0.249977111117893"/>
        <rFont val="Calibri"/>
        <family val="2"/>
        <scheme val="minor"/>
      </rPr>
      <t xml:space="preserve"> c</t>
    </r>
  </si>
  <si>
    <t>m / s'</t>
  </si>
  <si>
    <r>
      <t>l</t>
    </r>
    <r>
      <rPr>
        <i/>
        <vertAlign val="subscript"/>
        <sz val="11"/>
        <color theme="1" tint="0.249977111117893"/>
        <rFont val="Calibri"/>
        <family val="2"/>
        <scheme val="minor"/>
      </rPr>
      <t>P</t>
    </r>
    <r>
      <rPr>
        <i/>
        <sz val="11"/>
        <color theme="1" tint="0.249977111117893"/>
        <rFont val="Calibri"/>
        <family val="2"/>
        <scheme val="minor"/>
      </rPr>
      <t xml:space="preserve"> / t</t>
    </r>
    <r>
      <rPr>
        <i/>
        <vertAlign val="subscript"/>
        <sz val="11"/>
        <color theme="1" tint="0.249977111117893"/>
        <rFont val="Calibri"/>
        <family val="2"/>
        <scheme val="minor"/>
      </rPr>
      <t>P</t>
    </r>
    <r>
      <rPr>
        <i/>
        <sz val="11"/>
        <color theme="1" tint="0.249977111117893"/>
        <rFont val="Calibri"/>
        <family val="2"/>
        <scheme val="minor"/>
      </rPr>
      <t>'</t>
    </r>
  </si>
  <si>
    <t>G'</t>
  </si>
  <si>
    <r>
      <t>m</t>
    </r>
    <r>
      <rPr>
        <i/>
        <vertAlign val="superscript"/>
        <sz val="11"/>
        <color theme="1" tint="0.34998626667073579"/>
        <rFont val="Calibri"/>
        <family val="2"/>
        <scheme val="minor"/>
      </rPr>
      <t>3</t>
    </r>
    <r>
      <rPr>
        <i/>
        <sz val="11"/>
        <color theme="1" tint="0.34998626667073579"/>
        <rFont val="Calibri"/>
        <family val="2"/>
        <scheme val="minor"/>
      </rPr>
      <t xml:space="preserve"> / kg s'</t>
    </r>
    <r>
      <rPr>
        <i/>
        <vertAlign val="superscript"/>
        <sz val="11"/>
        <color theme="1" tint="0.34998626667073579"/>
        <rFont val="Calibri"/>
        <family val="2"/>
        <scheme val="minor"/>
      </rPr>
      <t>2</t>
    </r>
  </si>
  <si>
    <r>
      <t>[</t>
    </r>
    <r>
      <rPr>
        <i/>
        <sz val="11"/>
        <color theme="1" tint="0.249977111117893"/>
        <rFont val="Calibri"/>
        <family val="2"/>
        <scheme val="minor"/>
      </rPr>
      <t xml:space="preserve"> l</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P</t>
    </r>
    <r>
      <rPr>
        <i/>
        <sz val="11"/>
        <color theme="1" tint="0.249977111117893"/>
        <rFont val="Calibri"/>
        <family val="2"/>
        <scheme val="minor"/>
      </rPr>
      <t xml:space="preserve"> </t>
    </r>
    <r>
      <rPr>
        <sz val="11"/>
        <color theme="1" tint="0.249977111117893"/>
        <rFont val="Calibri"/>
        <family val="2"/>
        <scheme val="minor"/>
      </rPr>
      <t>]</t>
    </r>
    <r>
      <rPr>
        <i/>
        <sz val="11"/>
        <color theme="1" tint="0.249977111117893"/>
        <rFont val="Calibri"/>
        <family val="2"/>
        <scheme val="minor"/>
      </rPr>
      <t xml:space="preserve"> c'</t>
    </r>
    <r>
      <rPr>
        <i/>
        <vertAlign val="superscript"/>
        <sz val="11"/>
        <color theme="1" tint="0.249977111117893"/>
        <rFont val="Calibri"/>
        <family val="2"/>
        <scheme val="minor"/>
      </rPr>
      <t>2</t>
    </r>
  </si>
  <si>
    <t>ℏ'</t>
  </si>
  <si>
    <r>
      <t>kg m</t>
    </r>
    <r>
      <rPr>
        <i/>
        <vertAlign val="superscript"/>
        <sz val="11"/>
        <color theme="1" tint="0.34998626667073579"/>
        <rFont val="Calibri"/>
        <family val="2"/>
        <scheme val="minor"/>
      </rPr>
      <t>2</t>
    </r>
    <r>
      <rPr>
        <i/>
        <sz val="11"/>
        <color theme="1" tint="0.34998626667073579"/>
        <rFont val="Calibri"/>
        <family val="2"/>
        <scheme val="minor"/>
      </rPr>
      <t xml:space="preserve"> / s'</t>
    </r>
  </si>
  <si>
    <r>
      <t>l</t>
    </r>
    <r>
      <rPr>
        <i/>
        <vertAlign val="subscript"/>
        <sz val="11"/>
        <color theme="1" tint="0.249977111117893"/>
        <rFont val="Calibri"/>
        <family val="2"/>
        <scheme val="minor"/>
      </rPr>
      <t>P</t>
    </r>
    <r>
      <rPr>
        <i/>
        <sz val="11"/>
        <color theme="1" tint="0.249977111117893"/>
        <rFont val="Calibri"/>
        <family val="2"/>
        <scheme val="minor"/>
      </rPr>
      <t xml:space="preserve"> m</t>
    </r>
    <r>
      <rPr>
        <i/>
        <vertAlign val="subscript"/>
        <sz val="11"/>
        <color theme="1" tint="0.249977111117893"/>
        <rFont val="Calibri"/>
        <family val="2"/>
        <scheme val="minor"/>
      </rPr>
      <t>P</t>
    </r>
    <r>
      <rPr>
        <i/>
        <sz val="11"/>
        <color theme="1" tint="0.249977111117893"/>
        <rFont val="Calibri"/>
        <family val="2"/>
        <scheme val="minor"/>
      </rPr>
      <t xml:space="preserve"> c'</t>
    </r>
  </si>
  <si>
    <t>…and the natural unit length and time of the hyperfine transition radiation will still be…</t>
  </si>
  <si>
    <t>λ</t>
  </si>
  <si>
    <t>λ / c'</t>
  </si>
  <si>
    <t>natural time units</t>
  </si>
  <si>
    <r>
      <t>T / t</t>
    </r>
    <r>
      <rPr>
        <b/>
        <vertAlign val="subscript"/>
        <sz val="11"/>
        <color theme="1" tint="0.249977111117893"/>
        <rFont val="Calibri"/>
        <family val="2"/>
        <scheme val="minor"/>
      </rPr>
      <t>P</t>
    </r>
    <r>
      <rPr>
        <b/>
        <sz val="11"/>
        <color theme="1" tint="0.249977111117893"/>
        <rFont val="Calibri"/>
        <family val="2"/>
        <scheme val="minor"/>
      </rPr>
      <t>'</t>
    </r>
  </si>
  <si>
    <t>2.3 The kilogram</t>
  </si>
  <si>
    <t>Physical properties of radiation from the unperturbed ground-state hyperfine transition frequency of Cesium 133</t>
  </si>
  <si>
    <t>Wavelength</t>
  </si>
  <si>
    <t>Inertial (EM) Mass</t>
  </si>
  <si>
    <t>Period</t>
  </si>
  <si>
    <t>Frequency</t>
  </si>
  <si>
    <t>Wavenumber</t>
  </si>
  <si>
    <t>Energy</t>
  </si>
  <si>
    <t>f</t>
  </si>
  <si>
    <t>ν</t>
  </si>
  <si>
    <t>E</t>
  </si>
  <si>
    <t>kg</t>
  </si>
  <si>
    <t>Hz</t>
  </si>
  <si>
    <t>cycles / m</t>
  </si>
  <si>
    <t>J</t>
  </si>
  <si>
    <t>SI units</t>
  </si>
  <si>
    <t>M</t>
  </si>
  <si>
    <t>Natural units</t>
  </si>
  <si>
    <t>—</t>
  </si>
  <si>
    <t>Inverse natural units</t>
  </si>
  <si>
    <t>** The photon's wavelength and period are 2𝜋 times the inverse mass, so using the reduced wavelength and angular period align natural unit values of mass and energy with wavelength and period</t>
  </si>
  <si>
    <t>Reduced wavelength</t>
  </si>
  <si>
    <t>Angular Period</t>
  </si>
  <si>
    <t>ƛ</t>
  </si>
  <si>
    <t>τ</t>
  </si>
  <si>
    <t>ω</t>
  </si>
  <si>
    <t>k</t>
  </si>
  <si>
    <t>radians / sec</t>
  </si>
  <si>
    <t>radians / m</t>
  </si>
  <si>
    <r>
      <t>ƛ / l</t>
    </r>
    <r>
      <rPr>
        <i/>
        <vertAlign val="subscript"/>
        <sz val="11"/>
        <color theme="1" tint="0.249977111117893"/>
        <rFont val="Calibri"/>
        <family val="2"/>
        <scheme val="minor"/>
      </rPr>
      <t>P</t>
    </r>
  </si>
  <si>
    <r>
      <t>m</t>
    </r>
    <r>
      <rPr>
        <i/>
        <vertAlign val="subscript"/>
        <sz val="11"/>
        <color theme="1" tint="0.249977111117893"/>
        <rFont val="Calibri"/>
        <family val="2"/>
        <scheme val="minor"/>
      </rPr>
      <t>P</t>
    </r>
    <r>
      <rPr>
        <i/>
        <sz val="11"/>
        <color theme="1" tint="0.249977111117893"/>
        <rFont val="Calibri"/>
        <family val="2"/>
        <scheme val="minor"/>
      </rPr>
      <t xml:space="preserve"> / m</t>
    </r>
  </si>
  <si>
    <r>
      <rPr>
        <i/>
        <sz val="11"/>
        <color theme="1" tint="0.249977111117893"/>
        <rFont val="Calibri"/>
        <family val="2"/>
      </rPr>
      <t>τ</t>
    </r>
    <r>
      <rPr>
        <i/>
        <sz val="11"/>
        <color theme="1" tint="0.249977111117893"/>
        <rFont val="Calibri"/>
        <family val="2"/>
        <scheme val="minor"/>
      </rPr>
      <t xml:space="preserve"> / t</t>
    </r>
    <r>
      <rPr>
        <i/>
        <vertAlign val="subscript"/>
        <sz val="11"/>
        <color theme="1" tint="0.249977111117893"/>
        <rFont val="Calibri"/>
        <family val="2"/>
        <scheme val="minor"/>
      </rPr>
      <t>P</t>
    </r>
  </si>
  <si>
    <r>
      <t>E</t>
    </r>
    <r>
      <rPr>
        <i/>
        <vertAlign val="subscript"/>
        <sz val="11"/>
        <color theme="1" tint="0.249977111117893"/>
        <rFont val="Calibri"/>
        <family val="2"/>
        <scheme val="minor"/>
      </rPr>
      <t>P</t>
    </r>
    <r>
      <rPr>
        <i/>
        <sz val="11"/>
        <color theme="1" tint="0.249977111117893"/>
        <rFont val="Calibri"/>
        <family val="2"/>
        <scheme val="minor"/>
      </rPr>
      <t xml:space="preserve"> / E</t>
    </r>
  </si>
  <si>
    <t>Table 2</t>
  </si>
  <si>
    <t>Units</t>
  </si>
  <si>
    <t>SI</t>
  </si>
  <si>
    <t>meters</t>
  </si>
  <si>
    <t>kilograms</t>
  </si>
  <si>
    <t>seconds</t>
  </si>
  <si>
    <t>joules</t>
  </si>
  <si>
    <t>Natural</t>
  </si>
  <si>
    <t>length (L)</t>
  </si>
  <si>
    <t>mass (M)</t>
  </si>
  <si>
    <t>time (T)</t>
  </si>
  <si>
    <t>energy (E)</t>
  </si>
  <si>
    <t>1 / m</t>
  </si>
  <si>
    <r>
      <rPr>
        <i/>
        <sz val="11"/>
        <color theme="1" tint="0.249977111117893"/>
        <rFont val="Calibri"/>
        <family val="2"/>
        <scheme val="minor"/>
      </rPr>
      <t>m</t>
    </r>
    <r>
      <rPr>
        <vertAlign val="subscript"/>
        <sz val="11"/>
        <color theme="1" tint="0.249977111117893"/>
        <rFont val="Calibri"/>
        <family val="2"/>
        <scheme val="minor"/>
      </rPr>
      <t>P</t>
    </r>
    <r>
      <rPr>
        <sz val="11"/>
        <color theme="1" tint="0.249977111117893"/>
        <rFont val="Calibri"/>
        <family val="2"/>
        <scheme val="minor"/>
      </rPr>
      <t xml:space="preserve"> / </t>
    </r>
    <r>
      <rPr>
        <i/>
        <sz val="11"/>
        <color theme="1" tint="0.249977111117893"/>
        <rFont val="Calibri"/>
        <family val="2"/>
        <scheme val="minor"/>
      </rPr>
      <t>m</t>
    </r>
  </si>
  <si>
    <r>
      <t>× 1 / m</t>
    </r>
    <r>
      <rPr>
        <vertAlign val="subscript"/>
        <sz val="11"/>
        <color theme="1" tint="0.249977111117893"/>
        <rFont val="Calibri"/>
        <family val="2"/>
        <scheme val="minor"/>
      </rPr>
      <t>P</t>
    </r>
    <r>
      <rPr>
        <sz val="11"/>
        <color theme="1" tint="0.249977111117893"/>
        <rFont val="Calibri"/>
        <family val="2"/>
        <scheme val="minor"/>
      </rPr>
      <t xml:space="preserve"> </t>
    </r>
  </si>
  <si>
    <t xml:space="preserve"> = 1 / m</t>
  </si>
  <si>
    <r>
      <rPr>
        <i/>
        <sz val="11"/>
        <color theme="1" tint="0.249977111117893"/>
        <rFont val="Calibri"/>
        <family val="2"/>
        <scheme val="minor"/>
      </rPr>
      <t>h</t>
    </r>
    <r>
      <rPr>
        <sz val="11"/>
        <color theme="1" tint="0.249977111117893"/>
        <rFont val="Calibri"/>
        <family val="2"/>
        <scheme val="minor"/>
      </rPr>
      <t xml:space="preserve"> Δv</t>
    </r>
    <r>
      <rPr>
        <vertAlign val="subscript"/>
        <sz val="11"/>
        <color theme="1" tint="0.249977111117893"/>
        <rFont val="Calibri"/>
        <family val="2"/>
        <scheme val="minor"/>
      </rPr>
      <t>Cs</t>
    </r>
    <r>
      <rPr>
        <sz val="11"/>
        <color theme="1" tint="0.249977111117893"/>
        <rFont val="Calibri"/>
        <family val="2"/>
        <scheme val="minor"/>
      </rPr>
      <t xml:space="preserve"> / </t>
    </r>
    <r>
      <rPr>
        <i/>
        <sz val="11"/>
        <color theme="1" tint="0.249977111117893"/>
        <rFont val="Calibri"/>
        <family val="2"/>
        <scheme val="minor"/>
      </rPr>
      <t>c</t>
    </r>
    <r>
      <rPr>
        <vertAlign val="superscript"/>
        <sz val="11"/>
        <color theme="1" tint="0.249977111117893"/>
        <rFont val="Calibri"/>
        <family val="2"/>
        <scheme val="minor"/>
      </rPr>
      <t>2</t>
    </r>
  </si>
  <si>
    <r>
      <t>m</t>
    </r>
    <r>
      <rPr>
        <i/>
        <vertAlign val="subscript"/>
        <sz val="11"/>
        <color theme="1" tint="0.249977111117893"/>
        <rFont val="Calibri"/>
        <family val="2"/>
        <scheme val="minor"/>
      </rPr>
      <t>P</t>
    </r>
    <r>
      <rPr>
        <i/>
        <sz val="11"/>
        <color theme="1" tint="0.249977111117893"/>
        <rFont val="Calibri"/>
        <family val="2"/>
        <scheme val="minor"/>
      </rPr>
      <t xml:space="preserve"> t</t>
    </r>
    <r>
      <rPr>
        <i/>
        <vertAlign val="subscript"/>
        <sz val="11"/>
        <color theme="1" tint="0.249977111117893"/>
        <rFont val="Calibri"/>
        <family val="2"/>
        <scheme val="minor"/>
      </rPr>
      <t>P</t>
    </r>
    <r>
      <rPr>
        <i/>
        <sz val="11"/>
        <color theme="1" tint="0.249977111117893"/>
        <rFont val="Calibri"/>
        <family val="2"/>
        <scheme val="minor"/>
      </rPr>
      <t xml:space="preserve">  Δv</t>
    </r>
    <r>
      <rPr>
        <i/>
        <vertAlign val="subscript"/>
        <sz val="11"/>
        <color theme="1" tint="0.249977111117893"/>
        <rFont val="Calibri"/>
        <family val="2"/>
        <scheme val="minor"/>
      </rPr>
      <t>Cs</t>
    </r>
    <r>
      <rPr>
        <i/>
        <sz val="11"/>
        <color theme="1" tint="0.249977111117893"/>
        <rFont val="Calibri"/>
        <family val="2"/>
        <scheme val="minor"/>
      </rPr>
      <t xml:space="preserve"> </t>
    </r>
  </si>
  <si>
    <r>
      <t>m</t>
    </r>
    <r>
      <rPr>
        <i/>
        <vertAlign val="subscript"/>
        <sz val="11"/>
        <color theme="1" tint="0.249977111117893"/>
        <rFont val="Calibri"/>
        <family val="2"/>
        <scheme val="minor"/>
      </rPr>
      <t>P</t>
    </r>
    <r>
      <rPr>
        <i/>
        <sz val="11"/>
        <color theme="1" tint="0.249977111117893"/>
        <rFont val="Calibri"/>
        <family val="2"/>
        <scheme val="minor"/>
      </rPr>
      <t xml:space="preserve"> t</t>
    </r>
    <r>
      <rPr>
        <i/>
        <vertAlign val="subscript"/>
        <sz val="11"/>
        <color theme="1" tint="0.249977111117893"/>
        <rFont val="Calibri"/>
        <family val="2"/>
        <scheme val="minor"/>
      </rPr>
      <t>P</t>
    </r>
    <r>
      <rPr>
        <i/>
        <sz val="11"/>
        <color theme="1" tint="0.249977111117893"/>
        <rFont val="Calibri"/>
        <family val="2"/>
        <scheme val="minor"/>
      </rPr>
      <t xml:space="preserve"> / </t>
    </r>
    <r>
      <rPr>
        <i/>
        <sz val="11"/>
        <color theme="1" tint="0.249977111117893"/>
        <rFont val="Calibri"/>
        <family val="2"/>
      </rPr>
      <t>τ</t>
    </r>
    <r>
      <rPr>
        <i/>
        <sz val="11"/>
        <color theme="1" tint="0.249977111117893"/>
        <rFont val="Calibri"/>
        <family val="2"/>
        <scheme val="minor"/>
      </rPr>
      <t xml:space="preserve"> </t>
    </r>
  </si>
  <si>
    <t>3 Correlations of Matter</t>
  </si>
  <si>
    <t>3.1 Rest Mass</t>
  </si>
  <si>
    <t>Table 3</t>
  </si>
  <si>
    <t>Lepton</t>
  </si>
  <si>
    <r>
      <t>ƛ</t>
    </r>
    <r>
      <rPr>
        <b/>
        <i/>
        <vertAlign val="subscript"/>
        <sz val="12"/>
        <color theme="0"/>
        <rFont val="Calibri"/>
        <family val="2"/>
        <scheme val="minor"/>
      </rPr>
      <t>C</t>
    </r>
  </si>
  <si>
    <r>
      <t>m</t>
    </r>
    <r>
      <rPr>
        <b/>
        <i/>
        <vertAlign val="subscript"/>
        <sz val="12"/>
        <color theme="0"/>
        <rFont val="Calibri"/>
        <family val="2"/>
        <scheme val="minor"/>
      </rPr>
      <t>0</t>
    </r>
  </si>
  <si>
    <r>
      <t>ƛ</t>
    </r>
    <r>
      <rPr>
        <b/>
        <i/>
        <vertAlign val="subscript"/>
        <sz val="12"/>
        <color theme="0"/>
        <rFont val="Calibri"/>
        <family val="2"/>
        <scheme val="minor"/>
      </rPr>
      <t>C</t>
    </r>
    <r>
      <rPr>
        <b/>
        <i/>
        <sz val="12"/>
        <color theme="0"/>
        <rFont val="Calibri"/>
        <family val="2"/>
        <scheme val="minor"/>
      </rPr>
      <t xml:space="preserve"> m</t>
    </r>
    <r>
      <rPr>
        <b/>
        <i/>
        <vertAlign val="subscript"/>
        <sz val="12"/>
        <color theme="0"/>
        <rFont val="Calibri"/>
        <family val="2"/>
        <scheme val="minor"/>
      </rPr>
      <t>0</t>
    </r>
  </si>
  <si>
    <r>
      <t>l</t>
    </r>
    <r>
      <rPr>
        <b/>
        <i/>
        <vertAlign val="subscript"/>
        <sz val="12"/>
        <color theme="0"/>
        <rFont val="Calibri"/>
        <family val="2"/>
        <scheme val="minor"/>
      </rPr>
      <t>P</t>
    </r>
    <r>
      <rPr>
        <b/>
        <i/>
        <sz val="12"/>
        <color theme="0"/>
        <rFont val="Calibri"/>
        <family val="2"/>
        <scheme val="minor"/>
      </rPr>
      <t>m</t>
    </r>
    <r>
      <rPr>
        <b/>
        <i/>
        <vertAlign val="subscript"/>
        <sz val="12"/>
        <color theme="0"/>
        <rFont val="Calibri"/>
        <family val="2"/>
        <scheme val="minor"/>
      </rPr>
      <t>P</t>
    </r>
  </si>
  <si>
    <r>
      <t>l</t>
    </r>
    <r>
      <rPr>
        <b/>
        <i/>
        <vertAlign val="subscript"/>
        <sz val="12"/>
        <color theme="0"/>
        <rFont val="Calibri"/>
        <family val="2"/>
        <scheme val="minor"/>
      </rPr>
      <t>P</t>
    </r>
    <r>
      <rPr>
        <b/>
        <i/>
        <sz val="12"/>
        <color theme="0"/>
        <rFont val="Calibri"/>
        <family val="2"/>
        <scheme val="minor"/>
      </rPr>
      <t xml:space="preserve"> / ƛ</t>
    </r>
    <r>
      <rPr>
        <b/>
        <i/>
        <vertAlign val="subscript"/>
        <sz val="12"/>
        <color theme="0"/>
        <rFont val="Calibri"/>
        <family val="2"/>
        <scheme val="minor"/>
      </rPr>
      <t>C</t>
    </r>
  </si>
  <si>
    <r>
      <t>m</t>
    </r>
    <r>
      <rPr>
        <b/>
        <i/>
        <vertAlign val="subscript"/>
        <sz val="12"/>
        <color theme="0"/>
        <rFont val="Calibri"/>
        <family val="2"/>
        <scheme val="minor"/>
      </rPr>
      <t>0</t>
    </r>
    <r>
      <rPr>
        <b/>
        <i/>
        <sz val="12"/>
        <color theme="0"/>
        <rFont val="Calibri"/>
        <family val="2"/>
        <scheme val="minor"/>
      </rPr>
      <t xml:space="preserve"> / m</t>
    </r>
    <r>
      <rPr>
        <b/>
        <i/>
        <vertAlign val="subscript"/>
        <sz val="12"/>
        <color theme="0"/>
        <rFont val="Calibri"/>
        <family val="2"/>
        <scheme val="minor"/>
      </rPr>
      <t>P</t>
    </r>
  </si>
  <si>
    <t>kgm</t>
  </si>
  <si>
    <r>
      <t>L</t>
    </r>
    <r>
      <rPr>
        <vertAlign val="superscript"/>
        <sz val="11"/>
        <color theme="1" tint="0.34998626667073579"/>
        <rFont val="Calibri"/>
        <family val="2"/>
        <scheme val="minor"/>
      </rPr>
      <t>-1</t>
    </r>
  </si>
  <si>
    <t>e</t>
  </si>
  <si>
    <t>μ</t>
  </si>
  <si>
    <r>
      <t xml:space="preserve">ℏ / </t>
    </r>
    <r>
      <rPr>
        <i/>
        <sz val="11"/>
        <color theme="1" tint="0.249977111117893"/>
        <rFont val="Calibri"/>
        <family val="2"/>
        <scheme val="minor"/>
      </rPr>
      <t>c</t>
    </r>
  </si>
  <si>
    <r>
      <t>ƛ</t>
    </r>
    <r>
      <rPr>
        <i/>
        <vertAlign val="subscript"/>
        <sz val="11"/>
        <color theme="1" tint="0.249977111117893"/>
        <rFont val="Calibri"/>
        <family val="2"/>
        <scheme val="minor"/>
      </rPr>
      <t>C</t>
    </r>
    <r>
      <rPr>
        <i/>
        <sz val="11"/>
        <color theme="1" tint="0.249977111117893"/>
        <rFont val="Calibri"/>
        <family val="2"/>
        <scheme val="minor"/>
      </rPr>
      <t xml:space="preserve"> m</t>
    </r>
    <r>
      <rPr>
        <i/>
        <vertAlign val="subscript"/>
        <sz val="11"/>
        <color theme="1" tint="0.249977111117893"/>
        <rFont val="Calibri"/>
        <family val="2"/>
        <scheme val="minor"/>
      </rPr>
      <t>0</t>
    </r>
  </si>
  <si>
    <r>
      <t>l</t>
    </r>
    <r>
      <rPr>
        <i/>
        <vertAlign val="subscript"/>
        <sz val="11"/>
        <color theme="1" tint="0.249977111117893"/>
        <rFont val="Calibri"/>
        <family val="2"/>
        <scheme val="minor"/>
      </rPr>
      <t>P</t>
    </r>
    <r>
      <rPr>
        <i/>
        <sz val="11"/>
        <color theme="1" tint="0.249977111117893"/>
        <rFont val="Calibri"/>
        <family val="2"/>
        <scheme val="minor"/>
      </rPr>
      <t>m</t>
    </r>
    <r>
      <rPr>
        <i/>
        <vertAlign val="subscript"/>
        <sz val="11"/>
        <color theme="1" tint="0.249977111117893"/>
        <rFont val="Calibri"/>
        <family val="2"/>
        <scheme val="minor"/>
      </rPr>
      <t>P</t>
    </r>
  </si>
  <si>
    <r>
      <t>ƛ</t>
    </r>
    <r>
      <rPr>
        <i/>
        <vertAlign val="subscript"/>
        <sz val="11"/>
        <color theme="1" tint="0.249977111117893"/>
        <rFont val="Calibri"/>
        <family val="2"/>
        <scheme val="minor"/>
      </rPr>
      <t>C</t>
    </r>
    <r>
      <rPr>
        <i/>
        <sz val="11"/>
        <color theme="1" tint="0.249977111117893"/>
        <rFont val="Calibri"/>
        <family val="2"/>
        <scheme val="minor"/>
      </rPr>
      <t xml:space="preserve"> m</t>
    </r>
    <r>
      <rPr>
        <i/>
        <vertAlign val="subscript"/>
        <sz val="11"/>
        <color theme="1" tint="0.249977111117893"/>
        <rFont val="Calibri"/>
        <family val="2"/>
        <scheme val="minor"/>
      </rPr>
      <t>0</t>
    </r>
    <r>
      <rPr>
        <i/>
        <sz val="11"/>
        <color theme="1" tint="0.249977111117893"/>
        <rFont val="Calibri"/>
        <family val="2"/>
        <scheme val="minor"/>
      </rPr>
      <t xml:space="preserve"> c</t>
    </r>
  </si>
  <si>
    <r>
      <t>ƛ</t>
    </r>
    <r>
      <rPr>
        <i/>
        <vertAlign val="subscript"/>
        <sz val="11"/>
        <color theme="1" tint="0.249977111117893"/>
        <rFont val="Calibri"/>
        <family val="2"/>
        <scheme val="minor"/>
      </rPr>
      <t>C</t>
    </r>
    <r>
      <rPr>
        <i/>
        <sz val="11"/>
        <color theme="1" tint="0.249977111117893"/>
        <rFont val="Calibri"/>
        <family val="2"/>
        <scheme val="minor"/>
      </rPr>
      <t xml:space="preserve"> / l</t>
    </r>
    <r>
      <rPr>
        <i/>
        <vertAlign val="subscript"/>
        <sz val="11"/>
        <color theme="1" tint="0.249977111117893"/>
        <rFont val="Calibri"/>
        <family val="2"/>
        <scheme val="minor"/>
      </rPr>
      <t>P</t>
    </r>
    <r>
      <rPr>
        <i/>
        <sz val="11"/>
        <color theme="1" tint="0.249977111117893"/>
        <rFont val="Calibri"/>
        <family val="2"/>
        <scheme val="minor"/>
      </rPr>
      <t>, e</t>
    </r>
  </si>
  <si>
    <r>
      <t>m</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0</t>
    </r>
    <r>
      <rPr>
        <i/>
        <sz val="11"/>
        <color theme="1" tint="0.249977111117893"/>
        <rFont val="Calibri"/>
        <family val="2"/>
        <scheme val="minor"/>
      </rPr>
      <t>, e</t>
    </r>
  </si>
  <si>
    <r>
      <t>ƛ</t>
    </r>
    <r>
      <rPr>
        <i/>
        <vertAlign val="subscript"/>
        <sz val="11"/>
        <color theme="1" tint="0.249977111117893"/>
        <rFont val="Calibri"/>
        <family val="2"/>
        <scheme val="minor"/>
      </rPr>
      <t>C</t>
    </r>
    <r>
      <rPr>
        <i/>
        <sz val="11"/>
        <color theme="1" tint="0.249977111117893"/>
        <rFont val="Calibri"/>
        <family val="2"/>
        <scheme val="minor"/>
      </rPr>
      <t xml:space="preserve"> / l</t>
    </r>
    <r>
      <rPr>
        <i/>
        <vertAlign val="subscript"/>
        <sz val="11"/>
        <color theme="1" tint="0.249977111117893"/>
        <rFont val="Calibri"/>
        <family val="2"/>
        <scheme val="minor"/>
      </rPr>
      <t>P</t>
    </r>
    <r>
      <rPr>
        <i/>
        <sz val="11"/>
        <color theme="1" tint="0.249977111117893"/>
        <rFont val="Calibri"/>
        <family val="2"/>
        <scheme val="minor"/>
      </rPr>
      <t>, μ</t>
    </r>
  </si>
  <si>
    <r>
      <t>m</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0</t>
    </r>
    <r>
      <rPr>
        <i/>
        <sz val="11"/>
        <color theme="1" tint="0.249977111117893"/>
        <rFont val="Calibri"/>
        <family val="2"/>
        <scheme val="minor"/>
      </rPr>
      <t>, μ</t>
    </r>
  </si>
  <si>
    <r>
      <t>ƛ</t>
    </r>
    <r>
      <rPr>
        <i/>
        <vertAlign val="subscript"/>
        <sz val="11"/>
        <color theme="1" tint="0.249977111117893"/>
        <rFont val="Calibri"/>
        <family val="2"/>
        <scheme val="minor"/>
      </rPr>
      <t>C</t>
    </r>
    <r>
      <rPr>
        <i/>
        <sz val="11"/>
        <color theme="1" tint="0.249977111117893"/>
        <rFont val="Calibri"/>
        <family val="2"/>
        <scheme val="minor"/>
      </rPr>
      <t xml:space="preserve"> / l</t>
    </r>
    <r>
      <rPr>
        <i/>
        <vertAlign val="subscript"/>
        <sz val="11"/>
        <color theme="1" tint="0.249977111117893"/>
        <rFont val="Calibri"/>
        <family val="2"/>
        <scheme val="minor"/>
      </rPr>
      <t>P</t>
    </r>
    <r>
      <rPr>
        <i/>
        <sz val="11"/>
        <color theme="1" tint="0.249977111117893"/>
        <rFont val="Calibri"/>
        <family val="2"/>
        <scheme val="minor"/>
      </rPr>
      <t xml:space="preserve">, </t>
    </r>
    <r>
      <rPr>
        <sz val="11"/>
        <color theme="1" tint="0.249977111117893"/>
        <rFont val="Calibri"/>
        <family val="2"/>
      </rPr>
      <t>τ</t>
    </r>
  </si>
  <si>
    <r>
      <t>m</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0</t>
    </r>
    <r>
      <rPr>
        <i/>
        <sz val="11"/>
        <color theme="1" tint="0.249977111117893"/>
        <rFont val="Calibri"/>
        <family val="2"/>
        <scheme val="minor"/>
      </rPr>
      <t xml:space="preserve">, </t>
    </r>
    <r>
      <rPr>
        <sz val="11"/>
        <color theme="1" tint="0.249977111117893"/>
        <rFont val="Calibri"/>
        <family val="2"/>
      </rPr>
      <t>τ</t>
    </r>
  </si>
  <si>
    <t>3.2 Momentum</t>
  </si>
  <si>
    <t>Table 4</t>
  </si>
  <si>
    <t>Particle</t>
  </si>
  <si>
    <t>p</t>
  </si>
  <si>
    <r>
      <t>Wavelength</t>
    </r>
    <r>
      <rPr>
        <b/>
        <vertAlign val="superscript"/>
        <sz val="11"/>
        <color theme="0"/>
        <rFont val="Calibri"/>
        <family val="2"/>
        <scheme val="minor"/>
      </rPr>
      <t>−1</t>
    </r>
  </si>
  <si>
    <t>Inertial mass</t>
  </si>
  <si>
    <t>v</t>
  </si>
  <si>
    <t>kgm/s</t>
  </si>
  <si>
    <r>
      <t>L</t>
    </r>
    <r>
      <rPr>
        <vertAlign val="superscript"/>
        <sz val="11"/>
        <color theme="1" tint="0.34998626667073579"/>
        <rFont val="Calibri"/>
        <family val="2"/>
        <scheme val="minor"/>
      </rPr>
      <t>−1</t>
    </r>
  </si>
  <si>
    <t>m/s</t>
  </si>
  <si>
    <t>γ</t>
  </si>
  <si>
    <t>Table 5</t>
  </si>
  <si>
    <t>Scenario</t>
  </si>
  <si>
    <r>
      <t>E</t>
    </r>
    <r>
      <rPr>
        <b/>
        <i/>
        <vertAlign val="subscript"/>
        <sz val="11"/>
        <color theme="0"/>
        <rFont val="Calibri"/>
        <family val="2"/>
        <scheme val="minor"/>
      </rPr>
      <t>K</t>
    </r>
  </si>
  <si>
    <r>
      <t>ƛ</t>
    </r>
    <r>
      <rPr>
        <b/>
        <i/>
        <vertAlign val="subscript"/>
        <sz val="11"/>
        <color theme="0"/>
        <rFont val="Calibri"/>
        <family val="2"/>
        <scheme val="minor"/>
      </rPr>
      <t>C</t>
    </r>
  </si>
  <si>
    <r>
      <t>m</t>
    </r>
    <r>
      <rPr>
        <b/>
        <i/>
        <vertAlign val="subscript"/>
        <sz val="11"/>
        <color theme="0"/>
        <rFont val="Calibri"/>
        <family val="2"/>
        <scheme val="minor"/>
      </rPr>
      <t>0</t>
    </r>
  </si>
  <si>
    <t>CODATA</t>
  </si>
  <si>
    <t>eV</t>
  </si>
  <si>
    <r>
      <t>kgm</t>
    </r>
    <r>
      <rPr>
        <i/>
        <vertAlign val="superscript"/>
        <sz val="11"/>
        <color theme="1" tint="0.34998626667073579"/>
        <rFont val="Calibri"/>
        <family val="2"/>
        <scheme val="minor"/>
      </rPr>
      <t>2</t>
    </r>
    <r>
      <rPr>
        <i/>
        <sz val="11"/>
        <color theme="1" tint="0.34998626667073579"/>
        <rFont val="Calibri"/>
        <family val="2"/>
        <scheme val="minor"/>
      </rPr>
      <t>/s</t>
    </r>
    <r>
      <rPr>
        <i/>
        <vertAlign val="superscript"/>
        <sz val="11"/>
        <color theme="1" tint="0.34998626667073579"/>
        <rFont val="Calibri"/>
        <family val="2"/>
        <scheme val="minor"/>
      </rPr>
      <t>2</t>
    </r>
  </si>
  <si>
    <r>
      <t>ƛ = ƛ</t>
    </r>
    <r>
      <rPr>
        <vertAlign val="subscript"/>
        <sz val="12"/>
        <color theme="1"/>
        <rFont val="Calibri"/>
        <family val="2"/>
        <scheme val="minor"/>
      </rPr>
      <t>C</t>
    </r>
  </si>
  <si>
    <r>
      <t>ƛ = 3 × ƛ</t>
    </r>
    <r>
      <rPr>
        <vertAlign val="subscript"/>
        <sz val="12"/>
        <color theme="1"/>
        <rFont val="Calibri"/>
        <family val="2"/>
        <scheme val="minor"/>
      </rPr>
      <t>C</t>
    </r>
  </si>
  <si>
    <r>
      <t>ƛ = ƛ</t>
    </r>
    <r>
      <rPr>
        <vertAlign val="subscript"/>
        <sz val="12"/>
        <color theme="1"/>
        <rFont val="Calibri"/>
        <family val="2"/>
        <scheme val="minor"/>
      </rPr>
      <t>C</t>
    </r>
    <r>
      <rPr>
        <sz val="12"/>
        <color theme="1"/>
        <rFont val="Calibri"/>
        <family val="2"/>
        <scheme val="minor"/>
      </rPr>
      <t xml:space="preserve"> / α</t>
    </r>
  </si>
  <si>
    <t>Table 6</t>
  </si>
  <si>
    <r>
      <t>ƛ = 3 ƛ</t>
    </r>
    <r>
      <rPr>
        <vertAlign val="subscript"/>
        <sz val="12"/>
        <color theme="1"/>
        <rFont val="Calibri"/>
        <family val="2"/>
        <scheme val="minor"/>
      </rPr>
      <t>C</t>
    </r>
  </si>
  <si>
    <t>1 / 3</t>
  </si>
  <si>
    <t>1 / 9</t>
  </si>
  <si>
    <t>1 / 18</t>
  </si>
  <si>
    <r>
      <t>ƛ = 137 ƛ</t>
    </r>
    <r>
      <rPr>
        <vertAlign val="subscript"/>
        <sz val="12"/>
        <color theme="1"/>
        <rFont val="Calibri"/>
        <family val="2"/>
        <scheme val="minor"/>
      </rPr>
      <t>C</t>
    </r>
  </si>
  <si>
    <t>1 / 137</t>
  </si>
  <si>
    <r>
      <t>137</t>
    </r>
    <r>
      <rPr>
        <vertAlign val="superscript"/>
        <sz val="11"/>
        <color theme="1"/>
        <rFont val="Calibri"/>
        <family val="2"/>
        <scheme val="minor"/>
      </rPr>
      <t>2</t>
    </r>
  </si>
  <si>
    <r>
      <t>1 / 137</t>
    </r>
    <r>
      <rPr>
        <vertAlign val="superscript"/>
        <sz val="11"/>
        <color theme="1"/>
        <rFont val="Calibri"/>
        <family val="2"/>
        <scheme val="minor"/>
      </rPr>
      <t>2</t>
    </r>
  </si>
  <si>
    <r>
      <t>1 / (2*137</t>
    </r>
    <r>
      <rPr>
        <vertAlign val="superscript"/>
        <sz val="11"/>
        <color theme="1"/>
        <rFont val="Calibri"/>
        <family val="2"/>
        <scheme val="minor"/>
      </rPr>
      <t>2</t>
    </r>
    <r>
      <rPr>
        <sz val="11"/>
        <color theme="1"/>
        <rFont val="Calibri"/>
        <family val="2"/>
        <scheme val="minor"/>
      </rPr>
      <t>)</t>
    </r>
  </si>
  <si>
    <t>4 Classical Gravity and Natural Units</t>
  </si>
  <si>
    <t>Massive Body</t>
  </si>
  <si>
    <t>Mass</t>
  </si>
  <si>
    <t>Radius</t>
  </si>
  <si>
    <r>
      <t xml:space="preserve"> M</t>
    </r>
    <r>
      <rPr>
        <sz val="11"/>
        <color theme="1" tint="0.34998626667073579"/>
        <rFont val="Calibri"/>
        <family val="2"/>
        <scheme val="minor"/>
      </rPr>
      <t>⊙</t>
    </r>
  </si>
  <si>
    <r>
      <t xml:space="preserve"> R</t>
    </r>
    <r>
      <rPr>
        <sz val="11"/>
        <color theme="1" tint="0.34998626667073579"/>
        <rFont val="Calibri"/>
        <family val="2"/>
        <scheme val="minor"/>
      </rPr>
      <t>⊙</t>
    </r>
  </si>
  <si>
    <t>Sagittarius A*</t>
  </si>
  <si>
    <t>https://www.aanda.org/articles/aa/full_html/2019/05/aa35656-19/aa35656-19.html</t>
  </si>
  <si>
    <t>GRO J1655-40</t>
  </si>
  <si>
    <t>https://academic.oup.com/mnras/article/437/3/2554/1028565</t>
  </si>
  <si>
    <t>4U 1820−30</t>
  </si>
  <si>
    <t>https://iopscience.iop.org/article/10.1088/0004-637X/719/2/1807</t>
  </si>
  <si>
    <t>Sirius B</t>
  </si>
  <si>
    <t>https://iopscience.iop.org/article/10.1086/305489</t>
  </si>
  <si>
    <t>Sun</t>
  </si>
  <si>
    <t>https://www.aanda.org/articles/aa/full_html/2018/08/aa32159-17/aa32159-17.html#:~:text=At%20607.1%20nm%2C%20the%20solar,value%20is%20%C2%B122%20km.</t>
  </si>
  <si>
    <t>Earth</t>
  </si>
  <si>
    <t>https://iau-a3.gitlab.io/NSFA/NSFA_cbe.html#EarthRadius2009</t>
  </si>
  <si>
    <t>Table 8</t>
  </si>
  <si>
    <t>Type</t>
  </si>
  <si>
    <r>
      <t>L</t>
    </r>
    <r>
      <rPr>
        <vertAlign val="superscript"/>
        <sz val="11"/>
        <color theme="1" tint="0.34998626667073579"/>
        <rFont val="Calibri"/>
        <family val="2"/>
        <scheme val="minor"/>
      </rPr>
      <t xml:space="preserve">-1 </t>
    </r>
    <r>
      <rPr>
        <sz val="11"/>
        <color theme="1" tint="0.34998626667073579"/>
        <rFont val="Calibri"/>
        <family val="2"/>
        <scheme val="minor"/>
      </rPr>
      <t>M</t>
    </r>
  </si>
  <si>
    <t>Supermassive black hole</t>
  </si>
  <si>
    <t>Stellar mass black hole</t>
  </si>
  <si>
    <t>Neutron Star</t>
  </si>
  <si>
    <t>White dwarf</t>
  </si>
  <si>
    <t>Star</t>
  </si>
  <si>
    <t>Planet</t>
  </si>
  <si>
    <r>
      <t>R</t>
    </r>
    <r>
      <rPr>
        <vertAlign val="subscript"/>
        <sz val="11"/>
        <color theme="1" tint="0.249977111117893"/>
        <rFont val="Calibri"/>
        <family val="2"/>
        <scheme val="minor"/>
      </rPr>
      <t>S</t>
    </r>
    <r>
      <rPr>
        <sz val="11"/>
        <color theme="1" tint="0.249977111117893"/>
        <rFont val="Calibri"/>
        <family val="2"/>
        <scheme val="minor"/>
      </rPr>
      <t>, Earth</t>
    </r>
  </si>
  <si>
    <t>5 Electromagnetism</t>
  </si>
  <si>
    <t>5.1 Electrostatic force</t>
  </si>
  <si>
    <r>
      <t>K</t>
    </r>
    <r>
      <rPr>
        <i/>
        <vertAlign val="subscript"/>
        <sz val="11"/>
        <color theme="1" tint="0.249977111117893"/>
        <rFont val="Calibri"/>
        <family val="2"/>
        <scheme val="minor"/>
      </rPr>
      <t>e</t>
    </r>
  </si>
  <si>
    <r>
      <rPr>
        <sz val="11"/>
        <color theme="1" tint="0.249977111117893"/>
        <rFont val="Calibri"/>
        <family val="2"/>
        <scheme val="minor"/>
      </rPr>
      <t>[</t>
    </r>
    <r>
      <rPr>
        <i/>
        <sz val="11"/>
        <color theme="1" tint="0.249977111117893"/>
        <rFont val="Calibri"/>
        <family val="2"/>
        <scheme val="minor"/>
      </rPr>
      <t>m</t>
    </r>
    <r>
      <rPr>
        <i/>
        <vertAlign val="subscript"/>
        <sz val="11"/>
        <color theme="1" tint="0.249977111117893"/>
        <rFont val="Calibri"/>
        <family val="2"/>
        <scheme val="minor"/>
      </rPr>
      <t>P</t>
    </r>
    <r>
      <rPr>
        <i/>
        <sz val="11"/>
        <color theme="1" tint="0.249977111117893"/>
        <rFont val="Calibri"/>
        <family val="2"/>
        <scheme val="minor"/>
      </rPr>
      <t xml:space="preserve"> l</t>
    </r>
    <r>
      <rPr>
        <i/>
        <vertAlign val="subscript"/>
        <sz val="11"/>
        <color theme="1" tint="0.249977111117893"/>
        <rFont val="Calibri"/>
        <family val="2"/>
        <scheme val="minor"/>
      </rPr>
      <t>P</t>
    </r>
    <r>
      <rPr>
        <i/>
        <vertAlign val="superscript"/>
        <sz val="11"/>
        <color theme="1" tint="0.249977111117893"/>
        <rFont val="Calibri"/>
        <family val="2"/>
        <scheme val="minor"/>
      </rPr>
      <t>3</t>
    </r>
    <r>
      <rPr>
        <sz val="11"/>
        <color theme="1" tint="0.249977111117893"/>
        <rFont val="Calibri"/>
        <family val="2"/>
        <scheme val="minor"/>
      </rPr>
      <t>]</t>
    </r>
    <r>
      <rPr>
        <i/>
        <sz val="11"/>
        <color theme="1" tint="0.249977111117893"/>
        <rFont val="Calibri"/>
        <family val="2"/>
        <scheme val="minor"/>
      </rPr>
      <t xml:space="preserve"> / </t>
    </r>
    <r>
      <rPr>
        <sz val="11"/>
        <color theme="1" tint="0.249977111117893"/>
        <rFont val="Calibri"/>
        <family val="2"/>
        <scheme val="minor"/>
      </rPr>
      <t>[</t>
    </r>
    <r>
      <rPr>
        <i/>
        <sz val="11"/>
        <color theme="1" tint="0.249977111117893"/>
        <rFont val="Calibri"/>
        <family val="2"/>
        <scheme val="minor"/>
      </rPr>
      <t>t</t>
    </r>
    <r>
      <rPr>
        <i/>
        <vertAlign val="subscript"/>
        <sz val="11"/>
        <color theme="1" tint="0.249977111117893"/>
        <rFont val="Calibri"/>
        <family val="2"/>
        <scheme val="minor"/>
      </rPr>
      <t>P</t>
    </r>
    <r>
      <rPr>
        <i/>
        <sz val="11"/>
        <color theme="1" tint="0.249977111117893"/>
        <rFont val="Calibri"/>
        <family val="2"/>
        <scheme val="minor"/>
      </rPr>
      <t xml:space="preserve"> q</t>
    </r>
    <r>
      <rPr>
        <i/>
        <vertAlign val="subscript"/>
        <sz val="11"/>
        <color theme="1" tint="0.249977111117893"/>
        <rFont val="Calibri"/>
        <family val="2"/>
        <scheme val="minor"/>
      </rPr>
      <t>P</t>
    </r>
    <r>
      <rPr>
        <sz val="11"/>
        <color theme="1" tint="0.249977111117893"/>
        <rFont val="Calibri"/>
        <family val="2"/>
        <scheme val="minor"/>
      </rPr>
      <t>]</t>
    </r>
  </si>
  <si>
    <r>
      <t>√</t>
    </r>
    <r>
      <rPr>
        <sz val="11"/>
        <color theme="1" tint="0.249977111117893"/>
        <rFont val="Calibri"/>
        <family val="2"/>
      </rPr>
      <t>α</t>
    </r>
  </si>
  <si>
    <r>
      <t>e / q</t>
    </r>
    <r>
      <rPr>
        <i/>
        <vertAlign val="subscript"/>
        <sz val="11"/>
        <color theme="1" tint="0.249977111117893"/>
        <rFont val="Calibri"/>
        <family val="2"/>
        <scheme val="minor"/>
      </rPr>
      <t>P</t>
    </r>
  </si>
  <si>
    <t>5.2 Vacuum permittivity</t>
  </si>
  <si>
    <r>
      <rPr>
        <sz val="11"/>
        <color theme="1" tint="0.249977111117893"/>
        <rFont val="Calibri"/>
        <family val="2"/>
      </rPr>
      <t>ε</t>
    </r>
    <r>
      <rPr>
        <i/>
        <vertAlign val="subscript"/>
        <sz val="11"/>
        <color theme="1" tint="0.249977111117893"/>
        <rFont val="Calibri"/>
        <family val="2"/>
        <scheme val="minor"/>
      </rPr>
      <t>0</t>
    </r>
  </si>
  <si>
    <r>
      <t>[ 1 / 4</t>
    </r>
    <r>
      <rPr>
        <sz val="11"/>
        <color theme="1" tint="0.249977111117893"/>
        <rFont val="Calibri"/>
        <family val="2"/>
      </rPr>
      <t>π</t>
    </r>
    <r>
      <rPr>
        <sz val="9.9"/>
        <color theme="1" tint="0.249977111117893"/>
        <rFont val="Calibri"/>
        <family val="2"/>
      </rPr>
      <t>F</t>
    </r>
    <r>
      <rPr>
        <vertAlign val="subscript"/>
        <sz val="9.9"/>
        <color theme="1" tint="0.249977111117893"/>
        <rFont val="Calibri"/>
        <family val="2"/>
      </rPr>
      <t>P</t>
    </r>
    <r>
      <rPr>
        <sz val="9.9"/>
        <color theme="1" tint="0.249977111117893"/>
        <rFont val="Calibri"/>
        <family val="2"/>
      </rPr>
      <t xml:space="preserve"> ] [q</t>
    </r>
    <r>
      <rPr>
        <vertAlign val="subscript"/>
        <sz val="9.9"/>
        <color theme="1" tint="0.249977111117893"/>
        <rFont val="Calibri"/>
        <family val="2"/>
      </rPr>
      <t>P</t>
    </r>
    <r>
      <rPr>
        <sz val="9.9"/>
        <color theme="1" tint="0.249977111117893"/>
        <rFont val="Calibri"/>
        <family val="2"/>
      </rPr>
      <t xml:space="preserve"> / l</t>
    </r>
    <r>
      <rPr>
        <vertAlign val="subscript"/>
        <sz val="9.9"/>
        <color theme="1" tint="0.249977111117893"/>
        <rFont val="Calibri"/>
        <family val="2"/>
      </rPr>
      <t>P</t>
    </r>
    <r>
      <rPr>
        <sz val="9.9"/>
        <color theme="1" tint="0.249977111117893"/>
        <rFont val="Calibri"/>
        <family val="2"/>
      </rPr>
      <t xml:space="preserve"> ]</t>
    </r>
    <r>
      <rPr>
        <vertAlign val="superscript"/>
        <sz val="9.9"/>
        <color theme="1" tint="0.249977111117893"/>
        <rFont val="Calibri"/>
        <family val="2"/>
      </rPr>
      <t>2</t>
    </r>
  </si>
  <si>
    <t>Table 10</t>
  </si>
  <si>
    <t>Constant</t>
  </si>
  <si>
    <t>Symbol</t>
  </si>
  <si>
    <t>Value</t>
  </si>
  <si>
    <t>Dimensions</t>
  </si>
  <si>
    <t>Stdandard Form</t>
  </si>
  <si>
    <t>Natural Units</t>
  </si>
  <si>
    <t>Alternate</t>
  </si>
  <si>
    <t>Current form</t>
  </si>
  <si>
    <t>Unit dimensions</t>
  </si>
  <si>
    <r>
      <rPr>
        <i/>
        <sz val="12"/>
        <color theme="1" tint="0.249977111117893"/>
        <rFont val="Calibri"/>
        <family val="2"/>
        <scheme val="minor"/>
      </rPr>
      <t>q</t>
    </r>
    <r>
      <rPr>
        <vertAlign val="subscript"/>
        <sz val="12"/>
        <color theme="1" tint="0.249977111117893"/>
        <rFont val="Calibri"/>
        <family val="2"/>
        <scheme val="minor"/>
      </rPr>
      <t>P</t>
    </r>
  </si>
  <si>
    <t>C</t>
  </si>
  <si>
    <t>Elementary charge</t>
  </si>
  <si>
    <t>Vacuum permeability</t>
  </si>
  <si>
    <r>
      <t>µ</t>
    </r>
    <r>
      <rPr>
        <vertAlign val="subscript"/>
        <sz val="12"/>
        <color theme="1" tint="0.249977111117893"/>
        <rFont val="Calibri"/>
        <family val="2"/>
        <scheme val="minor"/>
      </rPr>
      <t>0</t>
    </r>
  </si>
  <si>
    <r>
      <t>N A</t>
    </r>
    <r>
      <rPr>
        <i/>
        <vertAlign val="superscript"/>
        <sz val="11"/>
        <color theme="1" tint="0.249977111117893"/>
        <rFont val="Calibri"/>
        <family val="2"/>
      </rPr>
      <t>−2</t>
    </r>
  </si>
  <si>
    <r>
      <t>kg m</t>
    </r>
    <r>
      <rPr>
        <i/>
        <vertAlign val="superscript"/>
        <sz val="11"/>
        <color theme="1" tint="0.34998626667073579"/>
        <rFont val="Calibri"/>
        <family val="2"/>
        <scheme val="minor"/>
      </rPr>
      <t xml:space="preserve"> </t>
    </r>
    <r>
      <rPr>
        <i/>
        <sz val="11"/>
        <color theme="1" tint="0.34998626667073579"/>
        <rFont val="Calibri"/>
        <family val="2"/>
        <scheme val="minor"/>
      </rPr>
      <t>C</t>
    </r>
    <r>
      <rPr>
        <i/>
        <vertAlign val="superscript"/>
        <sz val="11"/>
        <color theme="1" tint="0.34998626667073579"/>
        <rFont val="Calibri"/>
        <family val="2"/>
        <scheme val="minor"/>
      </rPr>
      <t>−2</t>
    </r>
  </si>
  <si>
    <t>Vacuum permittivity</t>
  </si>
  <si>
    <r>
      <t>ε</t>
    </r>
    <r>
      <rPr>
        <vertAlign val="subscript"/>
        <sz val="12"/>
        <color theme="1" tint="0.249977111117893"/>
        <rFont val="Calibri"/>
        <family val="2"/>
        <scheme val="minor"/>
      </rPr>
      <t>0</t>
    </r>
  </si>
  <si>
    <r>
      <t>Fm</t>
    </r>
    <r>
      <rPr>
        <i/>
        <vertAlign val="superscript"/>
        <sz val="11"/>
        <color theme="1" tint="0.34998626667073579"/>
        <rFont val="Calibri"/>
        <family val="2"/>
        <scheme val="minor"/>
      </rPr>
      <t>-1</t>
    </r>
  </si>
  <si>
    <r>
      <t>C</t>
    </r>
    <r>
      <rPr>
        <i/>
        <vertAlign val="superscript"/>
        <sz val="11"/>
        <color theme="1" tint="0.249977111117893"/>
        <rFont val="Calibri"/>
        <family val="2"/>
      </rPr>
      <t>2</t>
    </r>
    <r>
      <rPr>
        <i/>
        <sz val="11"/>
        <color theme="1" tint="0.249977111117893"/>
        <rFont val="Calibri"/>
        <family val="2"/>
      </rPr>
      <t xml:space="preserve"> s</t>
    </r>
    <r>
      <rPr>
        <i/>
        <vertAlign val="superscript"/>
        <sz val="11"/>
        <color theme="1" tint="0.249977111117893"/>
        <rFont val="Calibri"/>
        <family val="2"/>
      </rPr>
      <t xml:space="preserve">2 </t>
    </r>
    <r>
      <rPr>
        <i/>
        <sz val="11"/>
        <color theme="1" tint="0.249977111117893"/>
        <rFont val="Calibri"/>
        <family val="2"/>
      </rPr>
      <t>kg</t>
    </r>
    <r>
      <rPr>
        <i/>
        <vertAlign val="superscript"/>
        <sz val="11"/>
        <color theme="1" tint="0.249977111117893"/>
        <rFont val="Calibri"/>
        <family val="2"/>
      </rPr>
      <t xml:space="preserve">−1 </t>
    </r>
    <r>
      <rPr>
        <i/>
        <sz val="11"/>
        <color theme="1" tint="0.249977111117893"/>
        <rFont val="Calibri"/>
        <family val="2"/>
      </rPr>
      <t>m</t>
    </r>
    <r>
      <rPr>
        <i/>
        <vertAlign val="superscript"/>
        <sz val="11"/>
        <color theme="1" tint="0.249977111117893"/>
        <rFont val="Calibri"/>
        <family val="2"/>
      </rPr>
      <t>−3</t>
    </r>
  </si>
  <si>
    <t>Coulomb constant</t>
  </si>
  <si>
    <r>
      <t>k</t>
    </r>
    <r>
      <rPr>
        <vertAlign val="subscript"/>
        <sz val="12"/>
        <color theme="1" tint="0.249977111117893"/>
        <rFont val="Calibri"/>
        <family val="2"/>
        <scheme val="minor"/>
      </rPr>
      <t>e</t>
    </r>
  </si>
  <si>
    <r>
      <t>Nm</t>
    </r>
    <r>
      <rPr>
        <i/>
        <vertAlign val="superscript"/>
        <sz val="11"/>
        <color theme="1" tint="0.34998626667073579"/>
        <rFont val="Calibri"/>
        <family val="2"/>
        <scheme val="minor"/>
      </rPr>
      <t>2</t>
    </r>
    <r>
      <rPr>
        <i/>
        <sz val="11"/>
        <color theme="1" tint="0.34998626667073579"/>
        <rFont val="Calibri"/>
        <family val="2"/>
        <scheme val="minor"/>
      </rPr>
      <t>C</t>
    </r>
    <r>
      <rPr>
        <i/>
        <vertAlign val="superscript"/>
        <sz val="11"/>
        <color theme="1" tint="0.34998626667073579"/>
        <rFont val="Calibri"/>
        <family val="2"/>
        <scheme val="minor"/>
      </rPr>
      <t>−2</t>
    </r>
  </si>
  <si>
    <r>
      <rPr>
        <i/>
        <sz val="11"/>
        <color theme="1" tint="0.249977111117893"/>
        <rFont val="Calibri"/>
        <family val="2"/>
        <scheme val="minor"/>
      </rPr>
      <t>kgm</t>
    </r>
    <r>
      <rPr>
        <vertAlign val="superscript"/>
        <sz val="11"/>
        <color theme="1" tint="0.249977111117893"/>
        <rFont val="Calibri"/>
        <family val="2"/>
        <scheme val="minor"/>
      </rPr>
      <t>3</t>
    </r>
    <r>
      <rPr>
        <sz val="11"/>
        <color theme="1" tint="0.249977111117893"/>
        <rFont val="Calibri"/>
        <family val="2"/>
        <scheme val="minor"/>
      </rPr>
      <t xml:space="preserve"> </t>
    </r>
    <r>
      <rPr>
        <i/>
        <sz val="11"/>
        <color theme="1" tint="0.249977111117893"/>
        <rFont val="Calibri"/>
        <family val="2"/>
        <scheme val="minor"/>
      </rPr>
      <t>s</t>
    </r>
    <r>
      <rPr>
        <i/>
        <vertAlign val="superscript"/>
        <sz val="11"/>
        <color theme="1" tint="0.249977111117893"/>
        <rFont val="Calibri"/>
        <family val="2"/>
        <scheme val="minor"/>
      </rPr>
      <t>−2</t>
    </r>
    <r>
      <rPr>
        <sz val="11"/>
        <color theme="1" tint="0.249977111117893"/>
        <rFont val="Calibri"/>
        <family val="2"/>
        <scheme val="minor"/>
      </rPr>
      <t xml:space="preserve"> C</t>
    </r>
    <r>
      <rPr>
        <vertAlign val="superscript"/>
        <sz val="11"/>
        <color theme="1" tint="0.249977111117893"/>
        <rFont val="Calibri"/>
        <family val="2"/>
        <scheme val="minor"/>
      </rPr>
      <t>−2</t>
    </r>
  </si>
  <si>
    <t>von Klitzing constant</t>
  </si>
  <si>
    <r>
      <rPr>
        <i/>
        <sz val="12"/>
        <color theme="1" tint="0.249977111117893"/>
        <rFont val="Calibri"/>
        <family val="2"/>
        <scheme val="minor"/>
      </rPr>
      <t>R</t>
    </r>
    <r>
      <rPr>
        <vertAlign val="subscript"/>
        <sz val="12"/>
        <color theme="1" tint="0.249977111117893"/>
        <rFont val="Calibri"/>
        <family val="2"/>
        <scheme val="minor"/>
      </rPr>
      <t>k</t>
    </r>
  </si>
  <si>
    <t>Ω</t>
  </si>
  <si>
    <r>
      <rPr>
        <i/>
        <sz val="11"/>
        <color theme="1" tint="0.249977111117893"/>
        <rFont val="Calibri"/>
        <family val="2"/>
        <scheme val="minor"/>
      </rPr>
      <t>kgm</t>
    </r>
    <r>
      <rPr>
        <vertAlign val="superscript"/>
        <sz val="11"/>
        <color theme="1" tint="0.249977111117893"/>
        <rFont val="Calibri"/>
        <family val="2"/>
        <scheme val="minor"/>
      </rPr>
      <t>2</t>
    </r>
    <r>
      <rPr>
        <sz val="11"/>
        <color theme="1" tint="0.249977111117893"/>
        <rFont val="Calibri"/>
        <family val="2"/>
        <scheme val="minor"/>
      </rPr>
      <t xml:space="preserve"> </t>
    </r>
    <r>
      <rPr>
        <i/>
        <sz val="11"/>
        <color theme="1" tint="0.249977111117893"/>
        <rFont val="Calibri"/>
        <family val="2"/>
        <scheme val="minor"/>
      </rPr>
      <t>s</t>
    </r>
    <r>
      <rPr>
        <sz val="11"/>
        <color theme="1" tint="0.249977111117893"/>
        <rFont val="Calibri"/>
        <family val="2"/>
        <scheme val="minor"/>
      </rPr>
      <t xml:space="preserve"> C</t>
    </r>
    <r>
      <rPr>
        <vertAlign val="superscript"/>
        <sz val="11"/>
        <color theme="1" tint="0.249977111117893"/>
        <rFont val="Calibri"/>
        <family val="2"/>
        <scheme val="minor"/>
      </rPr>
      <t>−2</t>
    </r>
  </si>
  <si>
    <t>Josephson constant</t>
  </si>
  <si>
    <r>
      <rPr>
        <i/>
        <sz val="12"/>
        <color theme="1" tint="0.249977111117893"/>
        <rFont val="Calibri"/>
        <family val="2"/>
        <scheme val="minor"/>
      </rPr>
      <t>K</t>
    </r>
    <r>
      <rPr>
        <vertAlign val="subscript"/>
        <sz val="12"/>
        <color theme="1" tint="0.249977111117893"/>
        <rFont val="Calibri"/>
        <family val="2"/>
        <scheme val="minor"/>
      </rPr>
      <t>J</t>
    </r>
  </si>
  <si>
    <t>Hz / V</t>
  </si>
  <si>
    <r>
      <t>C s</t>
    </r>
    <r>
      <rPr>
        <i/>
        <vertAlign val="superscript"/>
        <sz val="11"/>
        <color theme="1" tint="0.249977111117893"/>
        <rFont val="Calibri"/>
        <family val="2"/>
      </rPr>
      <t xml:space="preserve"> </t>
    </r>
    <r>
      <rPr>
        <i/>
        <sz val="11"/>
        <color theme="1" tint="0.249977111117893"/>
        <rFont val="Calibri"/>
        <family val="2"/>
      </rPr>
      <t>kg</t>
    </r>
    <r>
      <rPr>
        <i/>
        <vertAlign val="superscript"/>
        <sz val="11"/>
        <color theme="1" tint="0.249977111117893"/>
        <rFont val="Calibri"/>
        <family val="2"/>
      </rPr>
      <t xml:space="preserve">−1 </t>
    </r>
    <r>
      <rPr>
        <i/>
        <sz val="11"/>
        <color theme="1" tint="0.249977111117893"/>
        <rFont val="Calibri"/>
        <family val="2"/>
      </rPr>
      <t>m</t>
    </r>
    <r>
      <rPr>
        <i/>
        <vertAlign val="superscript"/>
        <sz val="11"/>
        <color theme="1" tint="0.249977111117893"/>
        <rFont val="Calibri"/>
        <family val="2"/>
      </rPr>
      <t>−2</t>
    </r>
  </si>
  <si>
    <t>Bohr magneton</t>
  </si>
  <si>
    <r>
      <t>µ</t>
    </r>
    <r>
      <rPr>
        <vertAlign val="subscript"/>
        <sz val="12"/>
        <color theme="1" tint="0.249977111117893"/>
        <rFont val="Calibri"/>
        <family val="2"/>
        <scheme val="minor"/>
      </rPr>
      <t>B</t>
    </r>
  </si>
  <si>
    <t>J / T</t>
  </si>
  <si>
    <r>
      <rPr>
        <i/>
        <sz val="11"/>
        <color theme="1" tint="0.249977111117893"/>
        <rFont val="Calibri"/>
        <family val="2"/>
        <scheme val="minor"/>
      </rPr>
      <t>C m</t>
    </r>
    <r>
      <rPr>
        <vertAlign val="superscript"/>
        <sz val="11"/>
        <color theme="1" tint="0.249977111117893"/>
        <rFont val="Calibri"/>
        <family val="2"/>
        <scheme val="minor"/>
      </rPr>
      <t>2</t>
    </r>
    <r>
      <rPr>
        <sz val="11"/>
        <color theme="1" tint="0.249977111117893"/>
        <rFont val="Calibri"/>
        <family val="2"/>
        <scheme val="minor"/>
      </rPr>
      <t xml:space="preserve"> </t>
    </r>
    <r>
      <rPr>
        <i/>
        <sz val="11"/>
        <color theme="1" tint="0.249977111117893"/>
        <rFont val="Calibri"/>
        <family val="2"/>
        <scheme val="minor"/>
      </rPr>
      <t>s</t>
    </r>
    <r>
      <rPr>
        <i/>
        <vertAlign val="superscript"/>
        <sz val="11"/>
        <color theme="1" tint="0.249977111117893"/>
        <rFont val="Calibri"/>
        <family val="2"/>
        <scheme val="minor"/>
      </rPr>
      <t>−1</t>
    </r>
  </si>
  <si>
    <t>Conductance quantum</t>
  </si>
  <si>
    <r>
      <rPr>
        <i/>
        <sz val="12"/>
        <color theme="1" tint="0.249977111117893"/>
        <rFont val="Calibri"/>
        <family val="2"/>
        <scheme val="minor"/>
      </rPr>
      <t>G</t>
    </r>
    <r>
      <rPr>
        <vertAlign val="subscript"/>
        <sz val="12"/>
        <color theme="1" tint="0.249977111117893"/>
        <rFont val="Calibri"/>
        <family val="2"/>
        <scheme val="minor"/>
      </rPr>
      <t>0</t>
    </r>
  </si>
  <si>
    <t>S</t>
  </si>
  <si>
    <r>
      <t>C</t>
    </r>
    <r>
      <rPr>
        <i/>
        <vertAlign val="superscript"/>
        <sz val="11"/>
        <color theme="1" tint="0.249977111117893"/>
        <rFont val="Calibri"/>
        <family val="2"/>
      </rPr>
      <t>2</t>
    </r>
    <r>
      <rPr>
        <i/>
        <sz val="11"/>
        <color theme="1" tint="0.249977111117893"/>
        <rFont val="Calibri"/>
        <family val="2"/>
      </rPr>
      <t xml:space="preserve"> s</t>
    </r>
    <r>
      <rPr>
        <i/>
        <vertAlign val="superscript"/>
        <sz val="11"/>
        <color theme="1" tint="0.249977111117893"/>
        <rFont val="Calibri"/>
        <family val="2"/>
      </rPr>
      <t xml:space="preserve"> </t>
    </r>
    <r>
      <rPr>
        <i/>
        <sz val="11"/>
        <color theme="1" tint="0.249977111117893"/>
        <rFont val="Calibri"/>
        <family val="2"/>
      </rPr>
      <t>kg</t>
    </r>
    <r>
      <rPr>
        <i/>
        <vertAlign val="superscript"/>
        <sz val="11"/>
        <color theme="1" tint="0.249977111117893"/>
        <rFont val="Calibri"/>
        <family val="2"/>
      </rPr>
      <t xml:space="preserve">−1 </t>
    </r>
    <r>
      <rPr>
        <i/>
        <sz val="11"/>
        <color theme="1" tint="0.249977111117893"/>
        <rFont val="Calibri"/>
        <family val="2"/>
      </rPr>
      <t>m</t>
    </r>
    <r>
      <rPr>
        <i/>
        <vertAlign val="superscript"/>
        <sz val="11"/>
        <color theme="1" tint="0.249977111117893"/>
        <rFont val="Calibri"/>
        <family val="2"/>
      </rPr>
      <t>−2</t>
    </r>
  </si>
  <si>
    <t>Magnetic flux quantum</t>
  </si>
  <si>
    <r>
      <t>φ</t>
    </r>
    <r>
      <rPr>
        <vertAlign val="subscript"/>
        <sz val="12"/>
        <color theme="1" tint="0.249977111117893"/>
        <rFont val="Calibri"/>
        <family val="2"/>
        <scheme val="minor"/>
      </rPr>
      <t>0</t>
    </r>
  </si>
  <si>
    <t>Wb</t>
  </si>
  <si>
    <r>
      <rPr>
        <i/>
        <sz val="11"/>
        <color theme="1" tint="0.249977111117893"/>
        <rFont val="Calibri"/>
        <family val="2"/>
        <scheme val="minor"/>
      </rPr>
      <t>kgm</t>
    </r>
    <r>
      <rPr>
        <vertAlign val="superscript"/>
        <sz val="11"/>
        <color theme="1" tint="0.249977111117893"/>
        <rFont val="Calibri"/>
        <family val="2"/>
        <scheme val="minor"/>
      </rPr>
      <t>2</t>
    </r>
    <r>
      <rPr>
        <sz val="11"/>
        <color theme="1" tint="0.249977111117893"/>
        <rFont val="Calibri"/>
        <family val="2"/>
        <scheme val="minor"/>
      </rPr>
      <t xml:space="preserve"> </t>
    </r>
    <r>
      <rPr>
        <i/>
        <sz val="11"/>
        <color theme="1" tint="0.249977111117893"/>
        <rFont val="Calibri"/>
        <family val="2"/>
        <scheme val="minor"/>
      </rPr>
      <t>s</t>
    </r>
    <r>
      <rPr>
        <i/>
        <vertAlign val="superscript"/>
        <sz val="11"/>
        <color theme="1" tint="0.249977111117893"/>
        <rFont val="Calibri"/>
        <family val="2"/>
        <scheme val="minor"/>
      </rPr>
      <t>−1</t>
    </r>
    <r>
      <rPr>
        <sz val="11"/>
        <color theme="1" tint="0.249977111117893"/>
        <rFont val="Calibri"/>
        <family val="2"/>
        <scheme val="minor"/>
      </rPr>
      <t xml:space="preserve"> C</t>
    </r>
    <r>
      <rPr>
        <vertAlign val="superscript"/>
        <sz val="11"/>
        <color theme="1" tint="0.249977111117893"/>
        <rFont val="Calibri"/>
        <family val="2"/>
        <scheme val="minor"/>
      </rPr>
      <t>−1</t>
    </r>
  </si>
  <si>
    <t>Vacuum impedance</t>
  </si>
  <si>
    <r>
      <t>Z</t>
    </r>
    <r>
      <rPr>
        <vertAlign val="subscript"/>
        <sz val="12"/>
        <color theme="1" tint="0.249977111117893"/>
        <rFont val="Calibri"/>
        <family val="2"/>
        <scheme val="minor"/>
      </rPr>
      <t>0</t>
    </r>
  </si>
  <si>
    <t>5.3 Vacuum permeability</t>
  </si>
  <si>
    <r>
      <rPr>
        <sz val="11"/>
        <color theme="1" tint="0.249977111117893"/>
        <rFont val="Calibri"/>
        <family val="2"/>
      </rPr>
      <t>μ</t>
    </r>
    <r>
      <rPr>
        <i/>
        <vertAlign val="subscript"/>
        <sz val="11"/>
        <color theme="1" tint="0.249977111117893"/>
        <rFont val="Calibri"/>
        <family val="2"/>
        <scheme val="minor"/>
      </rPr>
      <t>0</t>
    </r>
  </si>
  <si>
    <r>
      <t>4π F</t>
    </r>
    <r>
      <rPr>
        <vertAlign val="subscript"/>
        <sz val="11"/>
        <color theme="1" tint="0.249977111117893"/>
        <rFont val="Calibri"/>
        <family val="2"/>
        <scheme val="minor"/>
      </rPr>
      <t>P</t>
    </r>
    <r>
      <rPr>
        <sz val="11"/>
        <color theme="1" tint="0.249977111117893"/>
        <rFont val="Calibri"/>
        <family val="2"/>
        <scheme val="minor"/>
      </rPr>
      <t xml:space="preserve"> [t</t>
    </r>
    <r>
      <rPr>
        <vertAlign val="subscript"/>
        <sz val="11"/>
        <color theme="1" tint="0.249977111117893"/>
        <rFont val="Calibri"/>
        <family val="2"/>
        <scheme val="minor"/>
      </rPr>
      <t>P</t>
    </r>
    <r>
      <rPr>
        <sz val="11"/>
        <color theme="1" tint="0.249977111117893"/>
        <rFont val="Calibri"/>
        <family val="2"/>
        <scheme val="minor"/>
      </rPr>
      <t xml:space="preserve"> / q</t>
    </r>
    <r>
      <rPr>
        <vertAlign val="subscript"/>
        <sz val="11"/>
        <color theme="1" tint="0.249977111117893"/>
        <rFont val="Calibri"/>
        <family val="2"/>
        <scheme val="minor"/>
      </rPr>
      <t>P</t>
    </r>
    <r>
      <rPr>
        <sz val="11"/>
        <color theme="1" tint="0.249977111117893"/>
        <rFont val="Calibri"/>
        <family val="2"/>
        <scheme val="minor"/>
      </rPr>
      <t>]</t>
    </r>
    <r>
      <rPr>
        <vertAlign val="superscript"/>
        <sz val="11"/>
        <color theme="1" tint="0.249977111117893"/>
        <rFont val="Calibri"/>
        <family val="2"/>
        <scheme val="minor"/>
      </rPr>
      <t>2</t>
    </r>
  </si>
  <si>
    <t>5.4 Electromagnetic potentials</t>
  </si>
  <si>
    <t>Table 11</t>
  </si>
  <si>
    <t>Unit Value</t>
  </si>
  <si>
    <t>Std Form</t>
  </si>
  <si>
    <t>Natural form</t>
  </si>
  <si>
    <t>value</t>
  </si>
  <si>
    <t>Unit dims</t>
  </si>
  <si>
    <t>Current potential</t>
  </si>
  <si>
    <r>
      <rPr>
        <i/>
        <sz val="12"/>
        <color theme="1" tint="0.249977111117893"/>
        <rFont val="Times New Roman"/>
        <family val="1"/>
      </rPr>
      <t>I</t>
    </r>
    <r>
      <rPr>
        <vertAlign val="subscript"/>
        <sz val="12"/>
        <color theme="1" tint="0.249977111117893"/>
        <rFont val="Calibri"/>
        <family val="2"/>
        <scheme val="minor"/>
      </rPr>
      <t>p</t>
    </r>
  </si>
  <si>
    <t>A</t>
  </si>
  <si>
    <t>Voltage potential</t>
  </si>
  <si>
    <r>
      <rPr>
        <i/>
        <sz val="12"/>
        <color theme="1" tint="0.249977111117893"/>
        <rFont val="Calibri"/>
        <family val="2"/>
        <scheme val="minor"/>
      </rPr>
      <t>V</t>
    </r>
    <r>
      <rPr>
        <vertAlign val="subscript"/>
        <sz val="12"/>
        <color theme="1" tint="0.249977111117893"/>
        <rFont val="Calibri"/>
        <family val="2"/>
        <scheme val="minor"/>
      </rPr>
      <t>p</t>
    </r>
  </si>
  <si>
    <t>V</t>
  </si>
  <si>
    <r>
      <t>kg m</t>
    </r>
    <r>
      <rPr>
        <i/>
        <vertAlign val="superscript"/>
        <sz val="11"/>
        <color theme="1" tint="0.34998626667073579"/>
        <rFont val="Calibri"/>
        <family val="2"/>
        <scheme val="minor"/>
      </rPr>
      <t xml:space="preserve">2 </t>
    </r>
    <r>
      <rPr>
        <i/>
        <sz val="11"/>
        <color theme="1" tint="0.34998626667073579"/>
        <rFont val="Calibri"/>
        <family val="2"/>
        <scheme val="minor"/>
      </rPr>
      <t>s</t>
    </r>
    <r>
      <rPr>
        <i/>
        <vertAlign val="superscript"/>
        <sz val="11"/>
        <color theme="1" tint="0.34998626667073579"/>
        <rFont val="Calibri"/>
        <family val="2"/>
        <scheme val="minor"/>
      </rPr>
      <t xml:space="preserve">−3 </t>
    </r>
    <r>
      <rPr>
        <i/>
        <sz val="11"/>
        <color theme="1" tint="0.34998626667073579"/>
        <rFont val="Calibri"/>
        <family val="2"/>
        <scheme val="minor"/>
      </rPr>
      <t>A</t>
    </r>
    <r>
      <rPr>
        <i/>
        <vertAlign val="superscript"/>
        <sz val="11"/>
        <color theme="1" tint="0.34998626667073579"/>
        <rFont val="Calibri"/>
        <family val="2"/>
        <scheme val="minor"/>
      </rPr>
      <t>−1</t>
    </r>
  </si>
  <si>
    <t>Impedance potential</t>
  </si>
  <si>
    <r>
      <rPr>
        <i/>
        <sz val="12"/>
        <color theme="1" tint="0.249977111117893"/>
        <rFont val="Calibri"/>
        <family val="2"/>
        <scheme val="minor"/>
      </rPr>
      <t>Z</t>
    </r>
    <r>
      <rPr>
        <vertAlign val="subscript"/>
        <sz val="12"/>
        <color theme="1" tint="0.249977111117893"/>
        <rFont val="Calibri"/>
        <family val="2"/>
        <scheme val="minor"/>
      </rPr>
      <t>p</t>
    </r>
  </si>
  <si>
    <r>
      <t>kg m</t>
    </r>
    <r>
      <rPr>
        <i/>
        <vertAlign val="superscript"/>
        <sz val="11"/>
        <color theme="1" tint="0.34998626667073579"/>
        <rFont val="Calibri"/>
        <family val="2"/>
        <scheme val="minor"/>
      </rPr>
      <t xml:space="preserve">2 </t>
    </r>
    <r>
      <rPr>
        <i/>
        <sz val="11"/>
        <color theme="1" tint="0.34998626667073579"/>
        <rFont val="Calibri"/>
        <family val="2"/>
        <scheme val="minor"/>
      </rPr>
      <t>s</t>
    </r>
    <r>
      <rPr>
        <i/>
        <vertAlign val="superscript"/>
        <sz val="11"/>
        <color theme="1" tint="0.34998626667073579"/>
        <rFont val="Calibri"/>
        <family val="2"/>
        <scheme val="minor"/>
      </rPr>
      <t xml:space="preserve">−3 </t>
    </r>
    <r>
      <rPr>
        <i/>
        <sz val="11"/>
        <color theme="1" tint="0.34998626667073579"/>
        <rFont val="Calibri"/>
        <family val="2"/>
        <scheme val="minor"/>
      </rPr>
      <t>A</t>
    </r>
    <r>
      <rPr>
        <i/>
        <vertAlign val="superscript"/>
        <sz val="11"/>
        <color theme="1" tint="0.34998626667073579"/>
        <rFont val="Calibri"/>
        <family val="2"/>
        <scheme val="minor"/>
      </rPr>
      <t>−2</t>
    </r>
  </si>
  <si>
    <t>Inductance potential</t>
  </si>
  <si>
    <r>
      <rPr>
        <i/>
        <sz val="12"/>
        <color theme="1" tint="0.249977111117893"/>
        <rFont val="Calibri"/>
        <family val="2"/>
        <scheme val="minor"/>
      </rPr>
      <t>L</t>
    </r>
    <r>
      <rPr>
        <vertAlign val="subscript"/>
        <sz val="12"/>
        <color theme="1" tint="0.249977111117893"/>
        <rFont val="Calibri"/>
        <family val="2"/>
        <scheme val="minor"/>
      </rPr>
      <t>p</t>
    </r>
  </si>
  <si>
    <t>H</t>
  </si>
  <si>
    <r>
      <t>kg m</t>
    </r>
    <r>
      <rPr>
        <i/>
        <vertAlign val="superscript"/>
        <sz val="11"/>
        <color theme="1" tint="0.34998626667073579"/>
        <rFont val="Calibri"/>
        <family val="2"/>
        <scheme val="minor"/>
      </rPr>
      <t xml:space="preserve">2 </t>
    </r>
    <r>
      <rPr>
        <i/>
        <sz val="11"/>
        <color theme="1" tint="0.34998626667073579"/>
        <rFont val="Calibri"/>
        <family val="2"/>
        <scheme val="minor"/>
      </rPr>
      <t>s</t>
    </r>
    <r>
      <rPr>
        <i/>
        <vertAlign val="superscript"/>
        <sz val="11"/>
        <color theme="1" tint="0.34998626667073579"/>
        <rFont val="Calibri"/>
        <family val="2"/>
        <scheme val="minor"/>
      </rPr>
      <t xml:space="preserve">−2 </t>
    </r>
    <r>
      <rPr>
        <i/>
        <sz val="11"/>
        <color theme="1" tint="0.34998626667073579"/>
        <rFont val="Calibri"/>
        <family val="2"/>
        <scheme val="minor"/>
      </rPr>
      <t>A</t>
    </r>
    <r>
      <rPr>
        <i/>
        <vertAlign val="superscript"/>
        <sz val="11"/>
        <color theme="1" tint="0.34998626667073579"/>
        <rFont val="Calibri"/>
        <family val="2"/>
        <scheme val="minor"/>
      </rPr>
      <t>−2</t>
    </r>
  </si>
  <si>
    <t>Magnetic inductance potential</t>
  </si>
  <si>
    <r>
      <rPr>
        <i/>
        <sz val="12"/>
        <color theme="1" tint="0.249977111117893"/>
        <rFont val="Calibri"/>
        <family val="2"/>
        <scheme val="minor"/>
      </rPr>
      <t>B</t>
    </r>
    <r>
      <rPr>
        <vertAlign val="subscript"/>
        <sz val="12"/>
        <color theme="1" tint="0.249977111117893"/>
        <rFont val="Calibri"/>
        <family val="2"/>
        <scheme val="minor"/>
      </rPr>
      <t>p</t>
    </r>
  </si>
  <si>
    <r>
      <t>kg s</t>
    </r>
    <r>
      <rPr>
        <i/>
        <vertAlign val="superscript"/>
        <sz val="11"/>
        <color theme="1" tint="0.34998626667073579"/>
        <rFont val="Calibri"/>
        <family val="2"/>
        <scheme val="minor"/>
      </rPr>
      <t xml:space="preserve">−2 </t>
    </r>
    <r>
      <rPr>
        <i/>
        <sz val="11"/>
        <color theme="1" tint="0.34998626667073579"/>
        <rFont val="Calibri"/>
        <family val="2"/>
        <scheme val="minor"/>
      </rPr>
      <t>A</t>
    </r>
    <r>
      <rPr>
        <i/>
        <vertAlign val="superscript"/>
        <sz val="11"/>
        <color theme="1" tint="0.34998626667073579"/>
        <rFont val="Calibri"/>
        <family val="2"/>
        <scheme val="minor"/>
      </rPr>
      <t>−1</t>
    </r>
  </si>
  <si>
    <t>Conductance potential</t>
  </si>
  <si>
    <r>
      <rPr>
        <i/>
        <sz val="12"/>
        <color theme="1" tint="0.249977111117893"/>
        <rFont val="Calibri"/>
        <family val="2"/>
        <scheme val="minor"/>
      </rPr>
      <t>G</t>
    </r>
    <r>
      <rPr>
        <vertAlign val="subscript"/>
        <sz val="12"/>
        <color theme="1" tint="0.249977111117893"/>
        <rFont val="Calibri"/>
        <family val="2"/>
        <scheme val="minor"/>
      </rPr>
      <t>p</t>
    </r>
  </si>
  <si>
    <r>
      <t>s</t>
    </r>
    <r>
      <rPr>
        <i/>
        <vertAlign val="superscript"/>
        <sz val="11"/>
        <color theme="1" tint="0.34998626667073579"/>
        <rFont val="Calibri"/>
        <family val="2"/>
      </rPr>
      <t xml:space="preserve">3 </t>
    </r>
    <r>
      <rPr>
        <i/>
        <sz val="11"/>
        <color theme="1" tint="0.34998626667073579"/>
        <rFont val="Calibri"/>
        <family val="2"/>
      </rPr>
      <t>A</t>
    </r>
    <r>
      <rPr>
        <i/>
        <vertAlign val="superscript"/>
        <sz val="11"/>
        <color theme="1" tint="0.34998626667073579"/>
        <rFont val="Calibri"/>
        <family val="2"/>
      </rPr>
      <t xml:space="preserve">2 </t>
    </r>
    <r>
      <rPr>
        <i/>
        <sz val="11"/>
        <color theme="1" tint="0.34998626667073579"/>
        <rFont val="Calibri"/>
        <family val="2"/>
      </rPr>
      <t>kg</t>
    </r>
    <r>
      <rPr>
        <i/>
        <vertAlign val="superscript"/>
        <sz val="11"/>
        <color theme="1" tint="0.34998626667073579"/>
        <rFont val="Calibri"/>
        <family val="2"/>
      </rPr>
      <t xml:space="preserve">−1 </t>
    </r>
    <r>
      <rPr>
        <i/>
        <sz val="11"/>
        <color theme="1" tint="0.34998626667073579"/>
        <rFont val="Calibri"/>
        <family val="2"/>
      </rPr>
      <t>m</t>
    </r>
    <r>
      <rPr>
        <i/>
        <vertAlign val="superscript"/>
        <sz val="11"/>
        <color theme="1" tint="0.34998626667073579"/>
        <rFont val="Calibri"/>
        <family val="2"/>
      </rPr>
      <t>−2</t>
    </r>
  </si>
  <si>
    <t>Capacitance potential</t>
  </si>
  <si>
    <r>
      <rPr>
        <i/>
        <sz val="12"/>
        <color theme="1" tint="0.249977111117893"/>
        <rFont val="Calibri"/>
        <family val="2"/>
        <scheme val="minor"/>
      </rPr>
      <t>C</t>
    </r>
    <r>
      <rPr>
        <vertAlign val="subscript"/>
        <sz val="12"/>
        <color theme="1" tint="0.249977111117893"/>
        <rFont val="Calibri"/>
        <family val="2"/>
        <scheme val="minor"/>
      </rPr>
      <t>p</t>
    </r>
  </si>
  <si>
    <t>F</t>
  </si>
  <si>
    <r>
      <t>s</t>
    </r>
    <r>
      <rPr>
        <i/>
        <vertAlign val="superscript"/>
        <sz val="11"/>
        <color theme="1" tint="0.34998626667073579"/>
        <rFont val="Calibri"/>
        <family val="2"/>
      </rPr>
      <t xml:space="preserve">4 </t>
    </r>
    <r>
      <rPr>
        <i/>
        <sz val="11"/>
        <color theme="1" tint="0.34998626667073579"/>
        <rFont val="Calibri"/>
        <family val="2"/>
      </rPr>
      <t>A</t>
    </r>
    <r>
      <rPr>
        <i/>
        <vertAlign val="superscript"/>
        <sz val="11"/>
        <color theme="1" tint="0.34998626667073579"/>
        <rFont val="Calibri"/>
        <family val="2"/>
      </rPr>
      <t xml:space="preserve">2 </t>
    </r>
    <r>
      <rPr>
        <i/>
        <sz val="11"/>
        <color theme="1" tint="0.34998626667073579"/>
        <rFont val="Calibri"/>
        <family val="2"/>
      </rPr>
      <t>kg</t>
    </r>
    <r>
      <rPr>
        <i/>
        <vertAlign val="superscript"/>
        <sz val="11"/>
        <color theme="1" tint="0.34998626667073579"/>
        <rFont val="Calibri"/>
        <family val="2"/>
      </rPr>
      <t xml:space="preserve">−1 </t>
    </r>
    <r>
      <rPr>
        <i/>
        <sz val="11"/>
        <color theme="1" tint="0.34998626667073579"/>
        <rFont val="Calibri"/>
        <family val="2"/>
      </rPr>
      <t>m</t>
    </r>
    <r>
      <rPr>
        <i/>
        <vertAlign val="superscript"/>
        <sz val="11"/>
        <color theme="1" tint="0.34998626667073579"/>
        <rFont val="Calibri"/>
        <family val="2"/>
      </rPr>
      <t>−2</t>
    </r>
  </si>
  <si>
    <t>Magnetic flux potential</t>
  </si>
  <si>
    <r>
      <t>φ</t>
    </r>
    <r>
      <rPr>
        <vertAlign val="subscript"/>
        <sz val="12"/>
        <color theme="1" tint="0.249977111117893"/>
        <rFont val="Calibri"/>
        <family val="2"/>
        <scheme val="minor"/>
      </rPr>
      <t>p</t>
    </r>
  </si>
  <si>
    <r>
      <t>kg m</t>
    </r>
    <r>
      <rPr>
        <i/>
        <vertAlign val="superscript"/>
        <sz val="11"/>
        <color theme="1" tint="0.34998626667073579"/>
        <rFont val="Calibri"/>
        <family val="2"/>
        <scheme val="minor"/>
      </rPr>
      <t xml:space="preserve">2 </t>
    </r>
    <r>
      <rPr>
        <i/>
        <sz val="11"/>
        <color theme="1" tint="0.34998626667073579"/>
        <rFont val="Calibri"/>
        <family val="2"/>
        <scheme val="minor"/>
      </rPr>
      <t>s</t>
    </r>
    <r>
      <rPr>
        <i/>
        <vertAlign val="superscript"/>
        <sz val="11"/>
        <color theme="1" tint="0.34998626667073579"/>
        <rFont val="Calibri"/>
        <family val="2"/>
        <scheme val="minor"/>
      </rPr>
      <t xml:space="preserve">−2 </t>
    </r>
    <r>
      <rPr>
        <i/>
        <sz val="11"/>
        <color theme="1" tint="0.34998626667073579"/>
        <rFont val="Calibri"/>
        <family val="2"/>
        <scheme val="minor"/>
      </rPr>
      <t>A</t>
    </r>
    <r>
      <rPr>
        <i/>
        <vertAlign val="superscript"/>
        <sz val="11"/>
        <color theme="1" tint="0.34998626667073579"/>
        <rFont val="Calibri"/>
        <family val="2"/>
        <scheme val="minor"/>
      </rPr>
      <t>−1</t>
    </r>
  </si>
  <si>
    <t>6. Putting it all together</t>
  </si>
  <si>
    <r>
      <rPr>
        <i/>
        <sz val="12"/>
        <color theme="1" tint="0.249977111117893"/>
        <rFont val="Calibri"/>
        <family val="2"/>
        <scheme val="minor"/>
      </rPr>
      <t>R</t>
    </r>
    <r>
      <rPr>
        <vertAlign val="subscript"/>
        <sz val="12"/>
        <color theme="1" tint="0.249977111117893"/>
        <rFont val="Calibri"/>
        <family val="2"/>
        <scheme val="minor"/>
      </rPr>
      <t>∞</t>
    </r>
  </si>
  <si>
    <r>
      <rPr>
        <b/>
        <sz val="12"/>
        <color rgb="FFC00000"/>
        <rFont val="Calibri"/>
        <family val="2"/>
        <scheme val="minor"/>
      </rPr>
      <t>{</t>
    </r>
    <r>
      <rPr>
        <sz val="12"/>
        <color theme="1"/>
        <rFont val="Calibri"/>
        <family val="2"/>
        <scheme val="minor"/>
      </rPr>
      <t xml:space="preserve"> </t>
    </r>
    <r>
      <rPr>
        <i/>
        <sz val="12"/>
        <color theme="1"/>
        <rFont val="Calibri"/>
        <family val="2"/>
        <scheme val="minor"/>
      </rPr>
      <t>m</t>
    </r>
    <r>
      <rPr>
        <vertAlign val="subscript"/>
        <sz val="12"/>
        <color theme="1"/>
        <rFont val="Calibri"/>
        <family val="2"/>
        <scheme val="minor"/>
      </rPr>
      <t>e</t>
    </r>
    <r>
      <rPr>
        <sz val="12"/>
        <color theme="1"/>
        <rFont val="Calibri"/>
        <family val="2"/>
        <scheme val="minor"/>
      </rPr>
      <t xml:space="preserve"> e</t>
    </r>
    <r>
      <rPr>
        <vertAlign val="superscript"/>
        <sz val="12"/>
        <color theme="1"/>
        <rFont val="Calibri"/>
        <family val="2"/>
        <scheme val="minor"/>
      </rPr>
      <t>4</t>
    </r>
    <r>
      <rPr>
        <i/>
        <sz val="12"/>
        <color theme="1"/>
        <rFont val="Calibri"/>
        <family val="2"/>
        <scheme val="minor"/>
      </rPr>
      <t xml:space="preserve"> </t>
    </r>
    <r>
      <rPr>
        <b/>
        <sz val="12"/>
        <color rgb="FFC00000"/>
        <rFont val="Calibri"/>
        <family val="2"/>
        <scheme val="minor"/>
      </rPr>
      <t>}{</t>
    </r>
    <r>
      <rPr>
        <sz val="12"/>
        <color theme="1"/>
        <rFont val="Calibri"/>
        <family val="2"/>
        <scheme val="minor"/>
      </rPr>
      <t xml:space="preserve"> 8 ε</t>
    </r>
    <r>
      <rPr>
        <vertAlign val="subscript"/>
        <sz val="12"/>
        <color theme="1"/>
        <rFont val="Calibri"/>
        <family val="2"/>
        <scheme val="minor"/>
      </rPr>
      <t>0</t>
    </r>
    <r>
      <rPr>
        <vertAlign val="superscript"/>
        <sz val="12"/>
        <color theme="1"/>
        <rFont val="Calibri"/>
        <family val="2"/>
        <scheme val="minor"/>
      </rPr>
      <t>2</t>
    </r>
    <r>
      <rPr>
        <sz val="12"/>
        <color theme="1"/>
        <rFont val="Calibri"/>
        <family val="2"/>
        <scheme val="minor"/>
      </rPr>
      <t xml:space="preserve"> </t>
    </r>
    <r>
      <rPr>
        <i/>
        <sz val="12"/>
        <color theme="1"/>
        <rFont val="Calibri"/>
        <family val="2"/>
        <scheme val="minor"/>
      </rPr>
      <t>h</t>
    </r>
    <r>
      <rPr>
        <i/>
        <vertAlign val="superscript"/>
        <sz val="12"/>
        <color theme="1"/>
        <rFont val="Calibri"/>
        <family val="2"/>
        <scheme val="minor"/>
      </rPr>
      <t>3</t>
    </r>
    <r>
      <rPr>
        <i/>
        <sz val="12"/>
        <color theme="1"/>
        <rFont val="Calibri"/>
        <family val="2"/>
        <scheme val="minor"/>
      </rPr>
      <t xml:space="preserve"> c</t>
    </r>
    <r>
      <rPr>
        <sz val="12"/>
        <color theme="1"/>
        <rFont val="Calibri"/>
        <family val="2"/>
        <scheme val="minor"/>
      </rPr>
      <t xml:space="preserve"> </t>
    </r>
    <r>
      <rPr>
        <b/>
        <sz val="12"/>
        <color rgb="FFC00000"/>
        <rFont val="Calibri"/>
        <family val="2"/>
        <scheme val="minor"/>
      </rPr>
      <t>}</t>
    </r>
  </si>
  <si>
    <r>
      <rPr>
        <b/>
        <sz val="12"/>
        <color rgb="FFC00000"/>
        <rFont val="Calibri"/>
        <family val="2"/>
        <scheme val="minor"/>
      </rPr>
      <t>{</t>
    </r>
    <r>
      <rPr>
        <sz val="12"/>
        <color theme="1"/>
        <rFont val="Calibri"/>
        <family val="2"/>
        <scheme val="minor"/>
      </rPr>
      <t xml:space="preserve"> </t>
    </r>
    <r>
      <rPr>
        <i/>
        <sz val="12"/>
        <color theme="1"/>
        <rFont val="Calibri"/>
        <family val="2"/>
        <scheme val="minor"/>
      </rPr>
      <t>m</t>
    </r>
    <r>
      <rPr>
        <vertAlign val="subscript"/>
        <sz val="12"/>
        <color theme="1"/>
        <rFont val="Calibri"/>
        <family val="2"/>
        <scheme val="minor"/>
      </rPr>
      <t>e</t>
    </r>
    <r>
      <rPr>
        <sz val="12"/>
        <color theme="1"/>
        <rFont val="Calibri"/>
        <family val="2"/>
        <scheme val="minor"/>
      </rPr>
      <t xml:space="preserve"> α</t>
    </r>
    <r>
      <rPr>
        <vertAlign val="superscript"/>
        <sz val="12"/>
        <color theme="1"/>
        <rFont val="Calibri"/>
        <family val="2"/>
        <scheme val="minor"/>
      </rPr>
      <t>2</t>
    </r>
    <r>
      <rPr>
        <sz val="12"/>
        <color theme="1"/>
        <rFont val="Calibri"/>
        <family val="2"/>
        <scheme val="minor"/>
      </rPr>
      <t xml:space="preserve"> </t>
    </r>
    <r>
      <rPr>
        <i/>
        <sz val="12"/>
        <color theme="1"/>
        <rFont val="Calibri"/>
        <family val="2"/>
        <scheme val="minor"/>
      </rPr>
      <t xml:space="preserve">c </t>
    </r>
    <r>
      <rPr>
        <b/>
        <sz val="12"/>
        <color rgb="FFC00000"/>
        <rFont val="Calibri"/>
        <family val="2"/>
        <scheme val="minor"/>
      </rPr>
      <t>}{</t>
    </r>
    <r>
      <rPr>
        <sz val="12"/>
        <color theme="1"/>
        <rFont val="Calibri"/>
        <family val="2"/>
        <scheme val="minor"/>
      </rPr>
      <t xml:space="preserve"> 2</t>
    </r>
    <r>
      <rPr>
        <i/>
        <sz val="12"/>
        <color theme="1"/>
        <rFont val="Calibri"/>
        <family val="2"/>
        <scheme val="minor"/>
      </rPr>
      <t>h</t>
    </r>
    <r>
      <rPr>
        <sz val="12"/>
        <color theme="1"/>
        <rFont val="Calibri"/>
        <family val="2"/>
        <scheme val="minor"/>
      </rPr>
      <t xml:space="preserve"> </t>
    </r>
    <r>
      <rPr>
        <b/>
        <sz val="12"/>
        <color rgb="FFC00000"/>
        <rFont val="Calibri"/>
        <family val="2"/>
        <scheme val="minor"/>
      </rPr>
      <t>}</t>
    </r>
  </si>
  <si>
    <r>
      <rPr>
        <b/>
        <sz val="12"/>
        <color rgb="FFC00000"/>
        <rFont val="Calibri"/>
        <family val="2"/>
        <scheme val="minor"/>
      </rPr>
      <t>{</t>
    </r>
    <r>
      <rPr>
        <sz val="12"/>
        <color theme="1"/>
        <rFont val="Calibri"/>
        <family val="2"/>
        <scheme val="minor"/>
      </rPr>
      <t xml:space="preserve"> </t>
    </r>
    <r>
      <rPr>
        <i/>
        <sz val="12"/>
        <color theme="1"/>
        <rFont val="Calibri"/>
        <family val="2"/>
        <scheme val="minor"/>
      </rPr>
      <t>m</t>
    </r>
    <r>
      <rPr>
        <vertAlign val="subscript"/>
        <sz val="12"/>
        <color theme="1"/>
        <rFont val="Calibri"/>
        <family val="2"/>
        <scheme val="minor"/>
      </rPr>
      <t>e</t>
    </r>
    <r>
      <rPr>
        <sz val="12"/>
        <color theme="1"/>
        <rFont val="Calibri"/>
        <family val="2"/>
        <scheme val="minor"/>
      </rPr>
      <t xml:space="preserve"> α</t>
    </r>
    <r>
      <rPr>
        <vertAlign val="superscript"/>
        <sz val="12"/>
        <color theme="1"/>
        <rFont val="Calibri"/>
        <family val="2"/>
        <scheme val="minor"/>
      </rPr>
      <t>2</t>
    </r>
    <r>
      <rPr>
        <sz val="12"/>
        <color theme="1"/>
        <rFont val="Calibri"/>
        <family val="2"/>
        <scheme val="minor"/>
      </rPr>
      <t xml:space="preserve"> </t>
    </r>
    <r>
      <rPr>
        <b/>
        <sz val="12"/>
        <color rgb="FFC00000"/>
        <rFont val="Calibri"/>
        <family val="2"/>
        <scheme val="minor"/>
      </rPr>
      <t>}{</t>
    </r>
    <r>
      <rPr>
        <sz val="12"/>
        <color theme="1"/>
        <rFont val="Calibri"/>
        <family val="2"/>
        <scheme val="minor"/>
      </rPr>
      <t xml:space="preserve"> 4π </t>
    </r>
    <r>
      <rPr>
        <i/>
        <sz val="12"/>
        <color theme="1"/>
        <rFont val="Calibri"/>
        <family val="2"/>
        <scheme val="minor"/>
      </rPr>
      <t>l</t>
    </r>
    <r>
      <rPr>
        <vertAlign val="subscript"/>
        <sz val="12"/>
        <color theme="1"/>
        <rFont val="Calibri"/>
        <family val="2"/>
        <scheme val="minor"/>
      </rPr>
      <t xml:space="preserve">P </t>
    </r>
    <r>
      <rPr>
        <i/>
        <sz val="12"/>
        <color theme="1"/>
        <rFont val="Calibri"/>
        <family val="2"/>
        <scheme val="minor"/>
      </rPr>
      <t>m</t>
    </r>
    <r>
      <rPr>
        <vertAlign val="subscript"/>
        <sz val="12"/>
        <color theme="1"/>
        <rFont val="Calibri"/>
        <family val="2"/>
        <scheme val="minor"/>
      </rPr>
      <t>P</t>
    </r>
    <r>
      <rPr>
        <sz val="12"/>
        <color theme="1"/>
        <rFont val="Calibri"/>
        <family val="2"/>
        <scheme val="minor"/>
      </rPr>
      <t xml:space="preserve"> </t>
    </r>
    <r>
      <rPr>
        <b/>
        <sz val="12"/>
        <color rgb="FFC00000"/>
        <rFont val="Calibri"/>
        <family val="2"/>
        <scheme val="minor"/>
      </rPr>
      <t>}</t>
    </r>
  </si>
  <si>
    <t>6.1 Luminosity</t>
  </si>
  <si>
    <t>Equality</t>
  </si>
  <si>
    <t>Natural Unit Formula</t>
  </si>
  <si>
    <t>Simplified Formula</t>
  </si>
  <si>
    <t>Sun's temperature</t>
  </si>
  <si>
    <t>K</t>
  </si>
  <si>
    <t>Sun's surface area</t>
  </si>
  <si>
    <r>
      <t>m</t>
    </r>
    <r>
      <rPr>
        <i/>
        <vertAlign val="superscript"/>
        <sz val="11"/>
        <color theme="1" tint="0.34998626667073579"/>
        <rFont val="Calibri"/>
        <family val="2"/>
        <scheme val="minor"/>
      </rPr>
      <t>2</t>
    </r>
  </si>
  <si>
    <t>Radiant power
per Planck area</t>
  </si>
  <si>
    <t>Planck energy
per Planck time</t>
  </si>
  <si>
    <t>Ratio of the sun's surface area to Planck area</t>
  </si>
  <si>
    <t>Sun's luminosity</t>
  </si>
  <si>
    <t>−</t>
  </si>
  <si>
    <r>
      <t>E T</t>
    </r>
    <r>
      <rPr>
        <vertAlign val="superscript"/>
        <sz val="11"/>
        <color theme="1" tint="0.34998626667073579"/>
        <rFont val="Calibri"/>
        <family val="2"/>
        <scheme val="minor"/>
      </rPr>
      <t>−1</t>
    </r>
    <r>
      <rPr>
        <sz val="11"/>
        <color theme="1" tint="0.34998626667073579"/>
        <rFont val="Calibri"/>
        <family val="2"/>
        <scheme val="minor"/>
      </rPr>
      <t xml:space="preserve"> </t>
    </r>
  </si>
  <si>
    <t>W</t>
  </si>
  <si>
    <r>
      <t>L</t>
    </r>
    <r>
      <rPr>
        <vertAlign val="superscript"/>
        <sz val="11"/>
        <color theme="1" tint="0.34998626667073579"/>
        <rFont val="Calibri"/>
        <family val="2"/>
        <scheme val="minor"/>
      </rPr>
      <t>2</t>
    </r>
  </si>
  <si>
    <t>Standard luminosity formula result</t>
  </si>
  <si>
    <t>The Natural unit formula illustrates how temperature is converted to power per Planck area and then expanded to the sun's surface</t>
  </si>
  <si>
    <t xml:space="preserve"> Avg kinetic energy &amp; radiation energy equivalent </t>
  </si>
  <si>
    <t xml:space="preserve"> Photon energy
in
natural units </t>
  </si>
  <si>
    <t xml:space="preserve">Photon period
in
natural units </t>
  </si>
  <si>
    <t xml:space="preserve">Radiant power per Planck length </t>
  </si>
  <si>
    <t xml:space="preserve">Radiant power per Planck area </t>
  </si>
  <si>
    <t>Planck power</t>
  </si>
  <si>
    <t>Scaling factor from
the Planck area to
the sun's surface area</t>
  </si>
  <si>
    <t>Multiplied by
a constant</t>
  </si>
  <si>
    <t>Equals the sun's luminosity</t>
  </si>
  <si>
    <t>dimensionless</t>
  </si>
  <si>
    <t>Appendix</t>
  </si>
  <si>
    <t>Table 13</t>
  </si>
  <si>
    <t>Unit</t>
  </si>
  <si>
    <t>conversion</t>
  </si>
  <si>
    <t>formula</t>
  </si>
  <si>
    <t>1 m</t>
  </si>
  <si>
    <r>
      <t>t</t>
    </r>
    <r>
      <rPr>
        <i/>
        <vertAlign val="subscript"/>
        <sz val="11"/>
        <color theme="1" tint="0.249977111117893"/>
        <rFont val="Calibri"/>
        <family val="2"/>
        <scheme val="minor"/>
      </rPr>
      <t>P</t>
    </r>
    <r>
      <rPr>
        <i/>
        <sz val="11"/>
        <color theme="1" tint="0.249977111117893"/>
        <rFont val="Calibri"/>
        <family val="2"/>
        <scheme val="minor"/>
      </rPr>
      <t xml:space="preserve"> / l</t>
    </r>
    <r>
      <rPr>
        <i/>
        <vertAlign val="subscript"/>
        <sz val="11"/>
        <color theme="1" tint="0.249977111117893"/>
        <rFont val="Calibri"/>
        <family val="2"/>
        <scheme val="minor"/>
      </rPr>
      <t>P</t>
    </r>
  </si>
  <si>
    <r>
      <t>m</t>
    </r>
    <r>
      <rPr>
        <i/>
        <vertAlign val="subscript"/>
        <sz val="11"/>
        <color theme="1" tint="0.249977111117893"/>
        <rFont val="Calibri"/>
        <family val="2"/>
        <scheme val="minor"/>
      </rPr>
      <t>P</t>
    </r>
    <r>
      <rPr>
        <i/>
        <sz val="11"/>
        <color theme="1" tint="0.249977111117893"/>
        <rFont val="Calibri"/>
        <family val="2"/>
        <scheme val="minor"/>
      </rPr>
      <t xml:space="preserve"> / l</t>
    </r>
    <r>
      <rPr>
        <i/>
        <vertAlign val="subscript"/>
        <sz val="11"/>
        <color theme="1" tint="0.249977111117893"/>
        <rFont val="Calibri"/>
        <family val="2"/>
        <scheme val="minor"/>
      </rPr>
      <t>P</t>
    </r>
  </si>
  <si>
    <r>
      <t>q</t>
    </r>
    <r>
      <rPr>
        <i/>
        <vertAlign val="subscript"/>
        <sz val="11"/>
        <color theme="1" tint="0.249977111117893"/>
        <rFont val="Calibri"/>
        <family val="2"/>
        <scheme val="minor"/>
      </rPr>
      <t>P</t>
    </r>
    <r>
      <rPr>
        <i/>
        <sz val="11"/>
        <color theme="1" tint="0.249977111117893"/>
        <rFont val="Calibri"/>
        <family val="2"/>
        <scheme val="minor"/>
      </rPr>
      <t xml:space="preserve"> / l</t>
    </r>
    <r>
      <rPr>
        <i/>
        <vertAlign val="subscript"/>
        <sz val="11"/>
        <color theme="1" tint="0.249977111117893"/>
        <rFont val="Calibri"/>
        <family val="2"/>
        <scheme val="minor"/>
      </rPr>
      <t>P</t>
    </r>
  </si>
  <si>
    <t>1 s</t>
  </si>
  <si>
    <r>
      <t>m</t>
    </r>
    <r>
      <rPr>
        <i/>
        <vertAlign val="subscript"/>
        <sz val="11"/>
        <color theme="1" tint="0.249977111117893"/>
        <rFont val="Calibri"/>
        <family val="2"/>
        <scheme val="minor"/>
      </rPr>
      <t>P</t>
    </r>
    <r>
      <rPr>
        <i/>
        <sz val="11"/>
        <color theme="1" tint="0.249977111117893"/>
        <rFont val="Calibri"/>
        <family val="2"/>
        <scheme val="minor"/>
      </rPr>
      <t xml:space="preserve"> / t</t>
    </r>
    <r>
      <rPr>
        <i/>
        <vertAlign val="subscript"/>
        <sz val="11"/>
        <color theme="1" tint="0.249977111117893"/>
        <rFont val="Calibri"/>
        <family val="2"/>
        <scheme val="minor"/>
      </rPr>
      <t>P</t>
    </r>
  </si>
  <si>
    <r>
      <t>q</t>
    </r>
    <r>
      <rPr>
        <i/>
        <vertAlign val="subscript"/>
        <sz val="11"/>
        <color theme="1" tint="0.249977111117893"/>
        <rFont val="Calibri"/>
        <family val="2"/>
        <scheme val="minor"/>
      </rPr>
      <t>P</t>
    </r>
    <r>
      <rPr>
        <i/>
        <sz val="11"/>
        <color theme="1" tint="0.249977111117893"/>
        <rFont val="Calibri"/>
        <family val="2"/>
        <scheme val="minor"/>
      </rPr>
      <t xml:space="preserve"> / t</t>
    </r>
    <r>
      <rPr>
        <i/>
        <vertAlign val="subscript"/>
        <sz val="11"/>
        <color theme="1" tint="0.249977111117893"/>
        <rFont val="Calibri"/>
        <family val="2"/>
        <scheme val="minor"/>
      </rPr>
      <t>P</t>
    </r>
  </si>
  <si>
    <t>1 kg</t>
  </si>
  <si>
    <r>
      <t>l</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P</t>
    </r>
  </si>
  <si>
    <r>
      <t>t</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P</t>
    </r>
  </si>
  <si>
    <r>
      <t>q</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P</t>
    </r>
  </si>
  <si>
    <t>1 C</t>
  </si>
  <si>
    <r>
      <t>l</t>
    </r>
    <r>
      <rPr>
        <i/>
        <vertAlign val="subscript"/>
        <sz val="11"/>
        <color theme="1" tint="0.249977111117893"/>
        <rFont val="Calibri"/>
        <family val="2"/>
        <scheme val="minor"/>
      </rPr>
      <t>P</t>
    </r>
    <r>
      <rPr>
        <i/>
        <sz val="11"/>
        <color theme="1" tint="0.249977111117893"/>
        <rFont val="Calibri"/>
        <family val="2"/>
        <scheme val="minor"/>
      </rPr>
      <t xml:space="preserve"> / q</t>
    </r>
    <r>
      <rPr>
        <i/>
        <vertAlign val="subscript"/>
        <sz val="11"/>
        <color theme="1" tint="0.249977111117893"/>
        <rFont val="Calibri"/>
        <family val="2"/>
        <scheme val="minor"/>
      </rPr>
      <t>P</t>
    </r>
  </si>
  <si>
    <r>
      <t>t</t>
    </r>
    <r>
      <rPr>
        <i/>
        <vertAlign val="subscript"/>
        <sz val="11"/>
        <color theme="1" tint="0.249977111117893"/>
        <rFont val="Calibri"/>
        <family val="2"/>
        <scheme val="minor"/>
      </rPr>
      <t>P</t>
    </r>
    <r>
      <rPr>
        <i/>
        <sz val="11"/>
        <color theme="1" tint="0.249977111117893"/>
        <rFont val="Calibri"/>
        <family val="2"/>
        <scheme val="minor"/>
      </rPr>
      <t xml:space="preserve"> / q</t>
    </r>
    <r>
      <rPr>
        <i/>
        <vertAlign val="subscript"/>
        <sz val="11"/>
        <color theme="1" tint="0.249977111117893"/>
        <rFont val="Calibri"/>
        <family val="2"/>
        <scheme val="minor"/>
      </rPr>
      <t>P</t>
    </r>
  </si>
  <si>
    <r>
      <t>m</t>
    </r>
    <r>
      <rPr>
        <i/>
        <vertAlign val="subscript"/>
        <sz val="11"/>
        <color theme="1" tint="0.249977111117893"/>
        <rFont val="Calibri"/>
        <family val="2"/>
        <scheme val="minor"/>
      </rPr>
      <t>P</t>
    </r>
    <r>
      <rPr>
        <i/>
        <sz val="11"/>
        <color theme="1" tint="0.249977111117893"/>
        <rFont val="Calibri"/>
        <family val="2"/>
        <scheme val="minor"/>
      </rPr>
      <t xml:space="preserve"> / q</t>
    </r>
    <r>
      <rPr>
        <i/>
        <vertAlign val="subscript"/>
        <sz val="11"/>
        <color theme="1" tint="0.249977111117893"/>
        <rFont val="Calibri"/>
        <family val="2"/>
        <scheme val="minor"/>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</si>
</sst>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3" formatCode="_(* #,##0.00_);_(* \(#,##0.00\);_(* &quot;-&quot;??_);_(@_)"/>
    <numFmt numFmtId="164" formatCode="0.000\ 000\ E+00"/>
    <numFmt numFmtId="165" formatCode="0.000\ 000\ 0000\ E+00"/>
    <numFmt numFmtId="166" formatCode="#,##0.000\ 000\ 000\ 0000"/>
    <numFmt numFmtId="167" formatCode="0.000\ 000\ 000\ E+00"/>
    <numFmt numFmtId="168" formatCode="0.000\ 000\ 000\ 00\ E+00"/>
    <numFmt numFmtId="169" formatCode="0.000\ 00\ E+00"/>
    <numFmt numFmtId="170" formatCode="0.000\ 000\ \ E+00"/>
    <numFmt numFmtId="171" formatCode="0.000\ 000\ 00\ E+00"/>
    <numFmt numFmtId="172" formatCode="0.000\ 000\ 000\ 000\ E+00"/>
    <numFmt numFmtId="173" formatCode="0.000\ 000\ 0000\ \ E+00"/>
    <numFmt numFmtId="174" formatCode="0.000\ 000\ 00"/>
    <numFmt numFmtId="175" formatCode="#,##0.0"/>
    <numFmt numFmtId="176" formatCode="0.0000\ 000\ E+00"/>
    <numFmt numFmtId="177" formatCode="0.000\ E+00"/>
    <numFmt numFmtId="178" formatCode="0.0000\ 000\ 0000\ \ E+00"/>
    <numFmt numFmtId="179" formatCode="#,##0.000000000"/>
    <numFmt numFmtId="180" formatCode="0.000000"/>
    <numFmt numFmtId="181" formatCode="0.0000\ 00\ E+00"/>
    <numFmt numFmtId="182" formatCode="#,##0.0000000"/>
    <numFmt numFmtId="183" formatCode="0.000\ 000\ 000\ \ E+00"/>
    <numFmt numFmtId="184" formatCode="0.0000\ 000\ 000\ 000\ \ E+00"/>
    <numFmt numFmtId="185" formatCode="0.000\ 000\ 000"/>
    <numFmt numFmtId="186" formatCode="0.0000\ 000\ 000\ 0000"/>
    <numFmt numFmtId="187" formatCode="_(* #,##0_);_(* \(#,##0\);_(* &quot;-&quot;??_);_(@_)"/>
    <numFmt numFmtId="188" formatCode="0.00000"/>
    <numFmt numFmtId="189" formatCode="0.000\ 000\ 00\ \ E+00"/>
    <numFmt numFmtId="190" formatCode="0.000\ 000"/>
    <numFmt numFmtId="191" formatCode="0.0000\ 000"/>
    <numFmt numFmtId="192" formatCode="0.000\ 00"/>
    <numFmt numFmtId="193" formatCode="#,##0.000\ 000\ 00"/>
    <numFmt numFmtId="194" formatCode="0.000\ 000\ 000\ 0000\ E+00"/>
    <numFmt numFmtId="195" formatCode="#,##0.000\ 000\ 000\ 000"/>
    <numFmt numFmtId="196" formatCode="00.\ 000\ E+00"/>
    <numFmt numFmtId="197" formatCode="0000.\ 000\ E+00"/>
    <numFmt numFmtId="198" formatCode="0.000\ 000\ 000\ 000"/>
    <numFmt numFmtId="199" formatCode="0.0000\ 000\ 0000\ E+00"/>
    <numFmt numFmtId="200" formatCode="0.000\ 000\ 0\ "/>
    <numFmt numFmtId="201" formatCode="0.00\ 000\ E+00"/>
    <numFmt numFmtId="202" formatCode="#,##0.000000"/>
    <numFmt numFmtId="203" formatCode="0.\ 000\ E+00"/>
    <numFmt numFmtId="204" formatCode="0.000\ \ E+00"/>
    <numFmt numFmtId="205" formatCode="_(* #,##0.000000_);_(* \(#,##0.000000\);_(* &quot;-&quot;??_);_(@_)"/>
    <numFmt numFmtId="206" formatCode="_(* #,##0.00000_);_(* \(#,##0.00000\);_(* &quot;-&quot;??_);_(@_)"/>
    <numFmt numFmtId="207" formatCode="0.000\ 000\ 0"/>
    <numFmt numFmtId="208" formatCode="0.000"/>
    <numFmt numFmtId="209" formatCode="0.00\ \ E+00"/>
    <numFmt numFmtId="210" formatCode="0.00000\ \ E+00"/>
    <numFmt numFmtId="211" formatCode="0.000\ 000\ 000\ 0"/>
    <numFmt numFmtId="212" formatCode="0.000\ 000\ 00\ ;"/>
    <numFmt numFmtId="213" formatCode="0.\ 000\ 000\ 0000\ E+00"/>
    <numFmt numFmtId="214" formatCode="00\ 000.000\ 00"/>
    <numFmt numFmtId="215" formatCode="00\ 000.00"/>
    <numFmt numFmtId="216" formatCode="000.000\ 000\ 0\ E+00"/>
    <numFmt numFmtId="217" formatCode="000.000\ 0\ E+00"/>
    <numFmt numFmtId="218" formatCode="0.\ 000\ 000\ 000\ E+00"/>
    <numFmt numFmtId="219" formatCode="0.\ 000\ 000\ E+00"/>
    <numFmt numFmtId="220" formatCode="000.000\ 000\ 000"/>
    <numFmt numFmtId="221" formatCode="000.000\ 0"/>
    <numFmt numFmtId="222" formatCode="0.000\ 0000"/>
    <numFmt numFmtId="223" formatCode="0.000\ 000\ E+00\ ;"/>
    <numFmt numFmtId="224" formatCode="0.\ 00\ E+00"/>
    <numFmt numFmtId="225" formatCode="0.00000E+00"/>
    <numFmt numFmtId="226" formatCode="0.0000"/>
    <numFmt numFmtId="227" formatCode="0.0000000000000"/>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tint="0.249977111117893"/>
      <name val="Calibri"/>
      <family val="2"/>
      <scheme val="minor"/>
    </font>
    <font>
      <b/>
      <sz val="11"/>
      <color theme="1" tint="0.249977111117893"/>
      <name val="Calibri"/>
      <family val="2"/>
      <scheme val="minor"/>
    </font>
    <font>
      <sz val="12"/>
      <name val="Calibri"/>
      <family val="2"/>
      <scheme val="minor"/>
    </font>
    <font>
      <b/>
      <sz val="12"/>
      <color rgb="FF03428E"/>
      <name val="Calibri"/>
      <family val="2"/>
      <scheme val="minor"/>
    </font>
    <font>
      <i/>
      <sz val="11"/>
      <color theme="1" tint="0.249977111117893"/>
      <name val="Calibri"/>
      <family val="2"/>
      <scheme val="minor"/>
    </font>
    <font>
      <i/>
      <sz val="11"/>
      <color theme="1" tint="0.34998626667073579"/>
      <name val="Calibri"/>
      <family val="2"/>
      <scheme val="minor"/>
    </font>
    <font>
      <i/>
      <vertAlign val="subscript"/>
      <sz val="11"/>
      <color theme="1" tint="0.249977111117893"/>
      <name val="Calibri"/>
      <family val="2"/>
      <scheme val="minor"/>
    </font>
    <font>
      <vertAlign val="subscript"/>
      <sz val="11"/>
      <color theme="1" tint="0.249977111117893"/>
      <name val="Calibri"/>
      <family val="2"/>
      <scheme val="minor"/>
    </font>
    <font>
      <vertAlign val="superscript"/>
      <sz val="11"/>
      <color theme="1" tint="0.249977111117893"/>
      <name val="Calibri"/>
      <family val="2"/>
      <scheme val="minor"/>
    </font>
    <font>
      <i/>
      <vertAlign val="superscript"/>
      <sz val="11"/>
      <color theme="1" tint="0.249977111117893"/>
      <name val="Calibri"/>
      <family val="2"/>
      <scheme val="minor"/>
    </font>
    <font>
      <i/>
      <sz val="11"/>
      <color theme="1" tint="0.249977111117893"/>
      <name val="Calibri"/>
      <family val="2"/>
    </font>
    <font>
      <b/>
      <sz val="12"/>
      <color theme="1" tint="0.249977111117893"/>
      <name val="Calibri"/>
      <family val="2"/>
      <scheme val="minor"/>
    </font>
    <font>
      <i/>
      <vertAlign val="superscript"/>
      <sz val="11"/>
      <color theme="1" tint="0.34998626667073579"/>
      <name val="Calibri"/>
      <family val="2"/>
      <scheme val="minor"/>
    </font>
    <font>
      <b/>
      <vertAlign val="subscript"/>
      <sz val="11"/>
      <color theme="1" tint="0.249977111117893"/>
      <name val="Calibri"/>
      <family val="2"/>
      <scheme val="minor"/>
    </font>
    <font>
      <sz val="12"/>
      <color theme="1" tint="0.249977111117893"/>
      <name val="Calibri"/>
      <family val="2"/>
      <scheme val="minor"/>
    </font>
    <font>
      <b/>
      <i/>
      <sz val="11"/>
      <color theme="1" tint="0.249977111117893"/>
      <name val="Calibri"/>
      <family val="2"/>
      <scheme val="minor"/>
    </font>
    <font>
      <b/>
      <i/>
      <sz val="12"/>
      <color theme="1" tint="0.249977111117893"/>
      <name val="Calibri"/>
      <family val="2"/>
      <scheme val="minor"/>
    </font>
    <font>
      <i/>
      <sz val="12"/>
      <color theme="1" tint="0.34998626667073579"/>
      <name val="Calibri"/>
      <family val="2"/>
      <scheme val="minor"/>
    </font>
    <font>
      <b/>
      <sz val="12"/>
      <color theme="5" tint="-0.249977111117893"/>
      <name val="Calibri"/>
      <family val="2"/>
      <scheme val="minor"/>
    </font>
    <font>
      <b/>
      <sz val="11"/>
      <color theme="5" tint="-0.249977111117893"/>
      <name val="Calibri"/>
      <family val="2"/>
      <scheme val="minor"/>
    </font>
    <font>
      <sz val="11"/>
      <color theme="5" tint="-0.249977111117893"/>
      <name val="Calibri"/>
      <family val="2"/>
      <scheme val="minor"/>
    </font>
    <font>
      <sz val="11"/>
      <color theme="1" tint="0.499984740745262"/>
      <name val="Calibri"/>
      <family val="2"/>
      <scheme val="minor"/>
    </font>
    <font>
      <b/>
      <sz val="11"/>
      <color theme="1" tint="0.34998626667073579"/>
      <name val="Calibri"/>
      <family val="2"/>
      <scheme val="minor"/>
    </font>
    <font>
      <b/>
      <sz val="11"/>
      <color rgb="FF03428E"/>
      <name val="Calibri"/>
      <family val="2"/>
      <scheme val="minor"/>
    </font>
    <font>
      <sz val="11"/>
      <color rgb="FF03428E"/>
      <name val="Calibri"/>
      <family val="2"/>
      <scheme val="minor"/>
    </font>
    <font>
      <sz val="12"/>
      <color rgb="FF03428E"/>
      <name val="Calibri"/>
      <family val="2"/>
      <scheme val="minor"/>
    </font>
    <font>
      <b/>
      <i/>
      <sz val="14"/>
      <color rgb="FFCF112D"/>
      <name val="Calibri"/>
      <family val="2"/>
      <scheme val="minor"/>
    </font>
    <font>
      <b/>
      <sz val="11"/>
      <color theme="1" tint="0.249977111117893"/>
      <name val="Calibri"/>
      <family val="2"/>
    </font>
    <font>
      <i/>
      <sz val="11"/>
      <color theme="5" tint="-0.249977111117893"/>
      <name val="Calibri"/>
      <family val="2"/>
      <scheme val="minor"/>
    </font>
    <font>
      <b/>
      <i/>
      <sz val="12"/>
      <color theme="0"/>
      <name val="Calibri"/>
      <family val="2"/>
      <scheme val="minor"/>
    </font>
    <font>
      <b/>
      <sz val="12"/>
      <color theme="0"/>
      <name val="Calibri"/>
      <family val="2"/>
    </font>
    <font>
      <b/>
      <i/>
      <sz val="11"/>
      <color theme="0"/>
      <name val="Calibri"/>
      <family val="2"/>
      <scheme val="minor"/>
    </font>
    <font>
      <b/>
      <i/>
      <vertAlign val="subscript"/>
      <sz val="12"/>
      <color theme="0"/>
      <name val="Calibri"/>
      <family val="2"/>
      <scheme val="minor"/>
    </font>
    <font>
      <sz val="11"/>
      <color theme="1" tint="0.34998626667073579"/>
      <name val="Calibri"/>
      <family val="2"/>
      <scheme val="minor"/>
    </font>
    <font>
      <vertAlign val="superscript"/>
      <sz val="11"/>
      <color theme="1" tint="0.34998626667073579"/>
      <name val="Calibri"/>
      <family val="2"/>
      <scheme val="minor"/>
    </font>
    <font>
      <sz val="11"/>
      <color theme="1" tint="0.249977111117893"/>
      <name val="Calibri"/>
      <family val="2"/>
    </font>
    <font>
      <b/>
      <vertAlign val="superscript"/>
      <sz val="11"/>
      <color theme="0"/>
      <name val="Calibri"/>
      <family val="2"/>
      <scheme val="minor"/>
    </font>
    <font>
      <b/>
      <i/>
      <sz val="11"/>
      <color theme="1" tint="0.34998626667073579"/>
      <name val="Calibri"/>
      <family val="2"/>
      <scheme val="minor"/>
    </font>
    <font>
      <b/>
      <i/>
      <sz val="12"/>
      <color theme="1" tint="0.34998626667073579"/>
      <name val="Calibri"/>
      <family val="2"/>
      <scheme val="minor"/>
    </font>
    <font>
      <b/>
      <sz val="11"/>
      <color theme="8"/>
      <name val="Calibri"/>
      <family val="2"/>
      <scheme val="minor"/>
    </font>
    <font>
      <b/>
      <sz val="12"/>
      <color theme="1" tint="0.249977111117893"/>
      <name val="Calibri"/>
      <family val="2"/>
    </font>
    <font>
      <b/>
      <sz val="11"/>
      <color theme="0"/>
      <name val="Calibri"/>
      <family val="2"/>
    </font>
    <font>
      <b/>
      <i/>
      <vertAlign val="subscript"/>
      <sz val="11"/>
      <color theme="0"/>
      <name val="Calibri"/>
      <family val="2"/>
      <scheme val="minor"/>
    </font>
    <font>
      <b/>
      <sz val="12"/>
      <color theme="0"/>
      <name val="Calibri"/>
      <family val="2"/>
      <scheme val="minor"/>
    </font>
    <font>
      <sz val="12"/>
      <color theme="1"/>
      <name val="Calibri"/>
      <family val="2"/>
      <scheme val="minor"/>
    </font>
    <font>
      <vertAlign val="subscript"/>
      <sz val="12"/>
      <color theme="1"/>
      <name val="Calibri"/>
      <family val="2"/>
      <scheme val="minor"/>
    </font>
    <font>
      <vertAlign val="superscript"/>
      <sz val="11"/>
      <color theme="1"/>
      <name val="Calibri"/>
      <family val="2"/>
      <scheme val="minor"/>
    </font>
    <font>
      <sz val="9.9"/>
      <color theme="1" tint="0.249977111117893"/>
      <name val="Calibri"/>
      <family val="2"/>
    </font>
    <font>
      <vertAlign val="subscript"/>
      <sz val="9.9"/>
      <color theme="1" tint="0.249977111117893"/>
      <name val="Calibri"/>
      <family val="2"/>
    </font>
    <font>
      <vertAlign val="superscript"/>
      <sz val="9.9"/>
      <color theme="1" tint="0.249977111117893"/>
      <name val="Calibri"/>
      <family val="2"/>
    </font>
    <font>
      <i/>
      <sz val="12"/>
      <color theme="1" tint="0.249977111117893"/>
      <name val="Calibri"/>
      <family val="2"/>
      <scheme val="minor"/>
    </font>
    <font>
      <vertAlign val="subscript"/>
      <sz val="12"/>
      <color theme="1" tint="0.249977111117893"/>
      <name val="Calibri"/>
      <family val="2"/>
      <scheme val="minor"/>
    </font>
    <font>
      <i/>
      <vertAlign val="superscript"/>
      <sz val="11"/>
      <color theme="1" tint="0.249977111117893"/>
      <name val="Calibri"/>
      <family val="2"/>
    </font>
    <font>
      <i/>
      <sz val="11"/>
      <color theme="1" tint="0.34998626667073579"/>
      <name val="Calibri"/>
      <family val="2"/>
    </font>
    <font>
      <sz val="12"/>
      <color theme="1" tint="0.249977111117893"/>
      <name val="Calibri"/>
      <family val="1"/>
      <scheme val="minor"/>
    </font>
    <font>
      <i/>
      <sz val="12"/>
      <color theme="1" tint="0.249977111117893"/>
      <name val="Times New Roman"/>
      <family val="1"/>
    </font>
    <font>
      <i/>
      <vertAlign val="superscript"/>
      <sz val="11"/>
      <color theme="1" tint="0.34998626667073579"/>
      <name val="Calibri"/>
      <family val="2"/>
    </font>
    <font>
      <b/>
      <sz val="12"/>
      <color rgb="FFC00000"/>
      <name val="Calibri"/>
      <family val="2"/>
      <scheme val="minor"/>
    </font>
    <font>
      <i/>
      <sz val="12"/>
      <color theme="1"/>
      <name val="Calibri"/>
      <family val="2"/>
      <scheme val="minor"/>
    </font>
    <font>
      <vertAlign val="superscript"/>
      <sz val="12"/>
      <color theme="1"/>
      <name val="Calibri"/>
      <family val="2"/>
      <scheme val="minor"/>
    </font>
    <font>
      <i/>
      <vertAlign val="superscript"/>
      <sz val="12"/>
      <color theme="1"/>
      <name val="Calibri"/>
      <family val="2"/>
      <scheme val="minor"/>
    </font>
    <font>
      <b/>
      <sz val="12"/>
      <color theme="1"/>
      <name val="Calibri"/>
      <family val="2"/>
      <scheme val="minor"/>
    </font>
    <font>
      <sz val="11"/>
      <color theme="5"/>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15749E"/>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6DD"/>
        <bgColor indexed="64"/>
      </patternFill>
    </fill>
    <fill>
      <patternFill patternType="solid">
        <fgColor theme="7" tint="-0.249977111117893"/>
        <bgColor indexed="64"/>
      </patternFill>
    </fill>
    <fill>
      <patternFill patternType="solid">
        <fgColor theme="7" tint="0.59999389629810485"/>
        <bgColor indexed="64"/>
      </patternFill>
    </fill>
  </fills>
  <borders count="10">
    <border>
      <left/>
      <right/>
      <top/>
      <bottom/>
      <diagonal/>
    </border>
    <border>
      <left/>
      <right/>
      <top/>
      <bottom style="thin">
        <color indexed="64"/>
      </bottom>
      <diagonal/>
    </border>
    <border>
      <left/>
      <right/>
      <top style="thin">
        <color indexed="64"/>
      </top>
      <bottom style="thin">
        <color theme="0" tint="-0.499984740745262"/>
      </bottom>
      <diagonal/>
    </border>
    <border>
      <left/>
      <right/>
      <top style="thin">
        <color theme="0" tint="-0.499984740745262"/>
      </top>
      <bottom style="double">
        <color indexed="64"/>
      </bottom>
      <diagonal/>
    </border>
    <border>
      <left/>
      <right/>
      <top/>
      <bottom style="thin">
        <color theme="5"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top/>
      <bottom style="thin">
        <color theme="4" tint="-0.249977111117893"/>
      </bottom>
      <diagonal/>
    </border>
    <border>
      <left/>
      <right/>
      <top style="thin">
        <color indexed="64"/>
      </top>
      <bottom/>
      <diagonal/>
    </border>
    <border>
      <left/>
      <right/>
      <top/>
      <bottom style="double">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309">
    <xf numFmtId="0" fontId="0" fillId="0" borderId="0" xfId="0"/>
    <xf numFmtId="0" fontId="7" fillId="0" borderId="0" xfId="0" applyFont="1"/>
    <xf numFmtId="164" fontId="8" fillId="0" borderId="0" xfId="0" applyNumberFormat="1" applyFont="1" applyAlignment="1">
      <alignment horizontal="right" vertical="center" indent="1"/>
    </xf>
    <xf numFmtId="164" fontId="8" fillId="0" borderId="0" xfId="0" applyNumberFormat="1" applyFont="1" applyAlignment="1">
      <alignment horizontal="center" vertical="center"/>
    </xf>
    <xf numFmtId="165" fontId="8" fillId="0" borderId="0" xfId="0" applyNumberFormat="1" applyFont="1" applyAlignment="1">
      <alignment horizontal="center" vertical="center"/>
    </xf>
    <xf numFmtId="166" fontId="8" fillId="0" borderId="0" xfId="0" applyNumberFormat="1" applyFont="1" applyAlignment="1">
      <alignment horizontal="center" vertical="center"/>
    </xf>
    <xf numFmtId="164" fontId="7" fillId="0" borderId="0" xfId="0" applyNumberFormat="1" applyFont="1"/>
    <xf numFmtId="0" fontId="8" fillId="0" borderId="0" xfId="0" applyFont="1" applyAlignment="1">
      <alignment horizontal="right" vertical="center" indent="1"/>
    </xf>
    <xf numFmtId="167" fontId="8" fillId="0" borderId="0" xfId="0" applyNumberFormat="1" applyFont="1" applyAlignment="1">
      <alignment horizontal="center" vertical="center"/>
    </xf>
    <xf numFmtId="168" fontId="8" fillId="0" borderId="0" xfId="0" applyNumberFormat="1" applyFont="1" applyAlignment="1">
      <alignment horizontal="center" vertical="center"/>
    </xf>
    <xf numFmtId="0" fontId="9" fillId="0" borderId="0" xfId="0" applyFont="1" applyAlignment="1">
      <alignment horizontal="center" vertical="center"/>
    </xf>
    <xf numFmtId="169" fontId="8" fillId="0" borderId="0" xfId="0" applyNumberFormat="1" applyFont="1" applyAlignment="1">
      <alignment horizontal="center" vertical="center"/>
    </xf>
    <xf numFmtId="3" fontId="8" fillId="0" borderId="0" xfId="0" applyNumberFormat="1" applyFont="1" applyAlignment="1">
      <alignment horizontal="center" vertical="center"/>
    </xf>
    <xf numFmtId="170" fontId="8" fillId="0" borderId="0" xfId="0" applyNumberFormat="1" applyFont="1" applyAlignment="1">
      <alignment horizontal="center" vertical="center"/>
    </xf>
    <xf numFmtId="171" fontId="8" fillId="0" borderId="0" xfId="0" applyNumberFormat="1" applyFont="1" applyAlignment="1">
      <alignment horizontal="center" vertical="center"/>
    </xf>
    <xf numFmtId="172" fontId="8" fillId="0" borderId="0" xfId="0" applyNumberFormat="1" applyFont="1" applyAlignment="1">
      <alignment horizontal="center" vertical="center"/>
    </xf>
    <xf numFmtId="173" fontId="8" fillId="0" borderId="0" xfId="0" applyNumberFormat="1" applyFont="1" applyAlignment="1">
      <alignment horizontal="center" vertical="center"/>
    </xf>
    <xf numFmtId="0" fontId="7" fillId="0" borderId="0" xfId="0" applyFont="1" applyAlignment="1">
      <alignment horizontal="right" vertical="center" indent="1"/>
    </xf>
    <xf numFmtId="0" fontId="7" fillId="0" borderId="1" xfId="0" applyFont="1" applyBorder="1"/>
    <xf numFmtId="0" fontId="7" fillId="0" borderId="1" xfId="0" applyFont="1" applyBorder="1" applyAlignment="1">
      <alignment horizontal="right" vertical="center"/>
    </xf>
    <xf numFmtId="164" fontId="8" fillId="0" borderId="1" xfId="0" applyNumberFormat="1" applyFont="1" applyBorder="1" applyAlignment="1">
      <alignment horizontal="center" vertical="center"/>
    </xf>
    <xf numFmtId="0" fontId="10" fillId="0" borderId="0" xfId="0" applyFont="1" applyAlignment="1">
      <alignment horizontal="left"/>
    </xf>
    <xf numFmtId="0" fontId="7" fillId="0" borderId="0" xfId="0" applyFont="1" applyAlignment="1">
      <alignment horizontal="right" vertical="center"/>
    </xf>
    <xf numFmtId="0" fontId="11" fillId="0" borderId="0" xfId="0" applyFont="1" applyAlignment="1">
      <alignment horizontal="right" vertical="center" indent="1"/>
    </xf>
    <xf numFmtId="174" fontId="12" fillId="0" borderId="0" xfId="0" applyNumberFormat="1" applyFont="1" applyAlignment="1">
      <alignment horizontal="center" vertical="center"/>
    </xf>
    <xf numFmtId="175" fontId="7" fillId="0" borderId="0" xfId="0" applyNumberFormat="1" applyFont="1" applyAlignment="1">
      <alignment horizontal="center" vertical="center"/>
    </xf>
    <xf numFmtId="176" fontId="7" fillId="0" borderId="0" xfId="0" applyNumberFormat="1" applyFont="1" applyAlignment="1">
      <alignment horizontal="center" vertical="center"/>
    </xf>
    <xf numFmtId="3" fontId="7" fillId="0" borderId="0" xfId="0" applyNumberFormat="1" applyFont="1"/>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177" fontId="7" fillId="0" borderId="0" xfId="0" applyNumberFormat="1" applyFont="1" applyAlignment="1">
      <alignment horizontal="right" vertical="center" indent="1"/>
    </xf>
    <xf numFmtId="179" fontId="7" fillId="0" borderId="0" xfId="0" applyNumberFormat="1" applyFont="1"/>
    <xf numFmtId="180" fontId="7" fillId="0" borderId="0" xfId="0" applyNumberFormat="1" applyFont="1"/>
    <xf numFmtId="181" fontId="7" fillId="0" borderId="0" xfId="0" applyNumberFormat="1" applyFont="1" applyAlignment="1">
      <alignment horizontal="center" vertical="center"/>
    </xf>
    <xf numFmtId="182" fontId="7" fillId="0" borderId="0" xfId="0" applyNumberFormat="1" applyFont="1"/>
    <xf numFmtId="177" fontId="11" fillId="0" borderId="0" xfId="0" applyNumberFormat="1" applyFont="1" applyAlignment="1">
      <alignment horizontal="right" vertical="center" indent="1"/>
    </xf>
    <xf numFmtId="0" fontId="8" fillId="0" borderId="1" xfId="0" applyFont="1" applyBorder="1" applyAlignment="1">
      <alignment horizontal="right" vertical="center" indent="1"/>
    </xf>
    <xf numFmtId="177" fontId="7" fillId="0" borderId="1" xfId="0" applyNumberFormat="1" applyFont="1" applyBorder="1" applyAlignment="1">
      <alignment horizontal="center" vertical="center"/>
    </xf>
    <xf numFmtId="169" fontId="8" fillId="0" borderId="1" xfId="0" applyNumberFormat="1" applyFont="1" applyBorder="1" applyAlignment="1">
      <alignment horizontal="center" vertical="center"/>
    </xf>
    <xf numFmtId="0" fontId="8" fillId="0" borderId="0" xfId="0" applyFont="1" applyAlignment="1">
      <alignment horizontal="left" vertical="center" indent="1"/>
    </xf>
    <xf numFmtId="183" fontId="8" fillId="0" borderId="0" xfId="0" applyNumberFormat="1" applyFont="1" applyAlignment="1">
      <alignment horizontal="center" vertical="center"/>
    </xf>
    <xf numFmtId="169" fontId="11" fillId="0" borderId="0" xfId="0" applyNumberFormat="1" applyFont="1" applyAlignment="1">
      <alignment horizontal="center" vertical="center"/>
    </xf>
    <xf numFmtId="184" fontId="7" fillId="0" borderId="0" xfId="0" applyNumberFormat="1" applyFont="1" applyAlignment="1">
      <alignment horizontal="center" vertical="center"/>
    </xf>
    <xf numFmtId="185" fontId="8" fillId="0" borderId="0" xfId="0" applyNumberFormat="1" applyFont="1" applyAlignment="1">
      <alignment horizontal="center" vertical="center"/>
    </xf>
    <xf numFmtId="186" fontId="7" fillId="0" borderId="0" xfId="0" applyNumberFormat="1" applyFont="1" applyAlignment="1">
      <alignment horizontal="center" vertical="center"/>
    </xf>
    <xf numFmtId="187" fontId="7" fillId="0" borderId="0" xfId="1" applyNumberFormat="1" applyFont="1"/>
    <xf numFmtId="0" fontId="18" fillId="0" borderId="0" xfId="0" applyFont="1" applyAlignment="1">
      <alignment horizontal="center" vertical="center"/>
    </xf>
    <xf numFmtId="187" fontId="11" fillId="0" borderId="0" xfId="1" applyNumberFormat="1" applyFont="1"/>
    <xf numFmtId="188" fontId="12" fillId="0" borderId="0" xfId="0" applyNumberFormat="1" applyFont="1" applyAlignment="1">
      <alignment horizontal="center" vertical="center"/>
    </xf>
    <xf numFmtId="0" fontId="11" fillId="0" borderId="0" xfId="0" applyFont="1" applyAlignment="1">
      <alignment horizontal="right" indent="1"/>
    </xf>
    <xf numFmtId="189" fontId="8" fillId="0" borderId="0" xfId="0" applyNumberFormat="1" applyFont="1" applyAlignment="1">
      <alignment horizontal="center" vertical="center"/>
    </xf>
    <xf numFmtId="187" fontId="7" fillId="0" borderId="1" xfId="1" applyNumberFormat="1" applyFont="1" applyBorder="1"/>
    <xf numFmtId="187" fontId="8" fillId="0" borderId="0" xfId="1" applyNumberFormat="1" applyFont="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164" fontId="11" fillId="0" borderId="0" xfId="0" applyNumberFormat="1" applyFont="1" applyAlignment="1">
      <alignment horizontal="right" vertical="center" indent="1"/>
    </xf>
    <xf numFmtId="0" fontId="12" fillId="0" borderId="0" xfId="0" applyFont="1" applyAlignment="1">
      <alignment horizontal="center" vertical="center"/>
    </xf>
    <xf numFmtId="0" fontId="11" fillId="0" borderId="0" xfId="0" applyFont="1" applyAlignment="1">
      <alignment horizontal="center" vertical="center"/>
    </xf>
    <xf numFmtId="190" fontId="8" fillId="0" borderId="0" xfId="0" applyNumberFormat="1" applyFont="1" applyAlignment="1">
      <alignment horizontal="center" vertical="center"/>
    </xf>
    <xf numFmtId="191" fontId="7" fillId="0" borderId="0" xfId="0" applyNumberFormat="1" applyFont="1" applyAlignment="1">
      <alignment horizontal="center" vertical="center"/>
    </xf>
    <xf numFmtId="164" fontId="7" fillId="0" borderId="0" xfId="0" applyNumberFormat="1" applyFont="1" applyAlignment="1">
      <alignment horizontal="right" vertical="center" indent="1"/>
    </xf>
    <xf numFmtId="192" fontId="8" fillId="0" borderId="0" xfId="0" applyNumberFormat="1" applyFont="1" applyAlignment="1">
      <alignment horizontal="center" vertical="center"/>
    </xf>
    <xf numFmtId="164" fontId="7" fillId="0" borderId="0" xfId="0" applyNumberFormat="1" applyFont="1" applyAlignment="1">
      <alignment horizontal="right" vertical="center"/>
    </xf>
    <xf numFmtId="0" fontId="11" fillId="0" borderId="1" xfId="0" applyFont="1" applyBorder="1" applyAlignment="1">
      <alignment horizontal="right" vertical="center" indent="1"/>
    </xf>
    <xf numFmtId="187" fontId="8" fillId="0" borderId="0" xfId="1" applyNumberFormat="1" applyFont="1" applyAlignment="1">
      <alignment horizontal="left" vertical="center"/>
    </xf>
    <xf numFmtId="0" fontId="18" fillId="0" borderId="0" xfId="0" applyFont="1"/>
    <xf numFmtId="0" fontId="18" fillId="0" borderId="0" xfId="0" applyFont="1" applyAlignment="1">
      <alignment horizontal="right" vertical="center" indent="1"/>
    </xf>
    <xf numFmtId="169" fontId="18" fillId="2" borderId="2" xfId="0" applyNumberFormat="1" applyFont="1" applyFill="1" applyBorder="1" applyAlignment="1">
      <alignment horizontal="center" vertical="center"/>
    </xf>
    <xf numFmtId="0" fontId="21" fillId="0" borderId="0" xfId="0" applyFont="1"/>
    <xf numFmtId="169" fontId="18" fillId="2" borderId="3" xfId="0" applyNumberFormat="1" applyFont="1" applyFill="1" applyBorder="1" applyAlignment="1">
      <alignment horizontal="center" vertical="center"/>
    </xf>
    <xf numFmtId="169" fontId="22" fillId="2" borderId="3" xfId="0" applyNumberFormat="1" applyFont="1" applyFill="1" applyBorder="1" applyAlignment="1">
      <alignment horizontal="center" vertical="center"/>
    </xf>
    <xf numFmtId="169" fontId="8" fillId="2" borderId="3" xfId="0" applyNumberFormat="1" applyFont="1" applyFill="1" applyBorder="1" applyAlignment="1">
      <alignment horizontal="center" vertical="center"/>
    </xf>
    <xf numFmtId="169" fontId="23" fillId="2" borderId="3" xfId="0" applyNumberFormat="1" applyFont="1" applyFill="1" applyBorder="1" applyAlignment="1">
      <alignment horizontal="center" vertical="center"/>
    </xf>
    <xf numFmtId="0" fontId="24" fillId="0" borderId="0" xfId="0" applyFont="1" applyAlignment="1">
      <alignment horizontal="center" vertical="center"/>
    </xf>
    <xf numFmtId="164" fontId="12" fillId="0" borderId="0" xfId="0" applyNumberFormat="1" applyFont="1" applyAlignment="1">
      <alignment horizontal="center" vertical="center"/>
    </xf>
    <xf numFmtId="0" fontId="25" fillId="0" borderId="0" xfId="0" applyFont="1" applyAlignment="1">
      <alignment horizontal="right" vertical="center" indent="1"/>
    </xf>
    <xf numFmtId="167" fontId="26" fillId="0" borderId="0" xfId="0" applyNumberFormat="1" applyFont="1" applyAlignment="1">
      <alignment horizontal="center" vertical="center"/>
    </xf>
    <xf numFmtId="3" fontId="26" fillId="0" borderId="0" xfId="0" applyNumberFormat="1" applyFont="1" applyAlignment="1">
      <alignment horizontal="center" vertical="center"/>
    </xf>
    <xf numFmtId="193" fontId="26" fillId="0" borderId="0" xfId="0" applyNumberFormat="1" applyFont="1" applyAlignment="1">
      <alignment horizontal="center" vertical="center"/>
    </xf>
    <xf numFmtId="0" fontId="7" fillId="0" borderId="0" xfId="0" applyFont="1" applyAlignment="1">
      <alignment vertical="center"/>
    </xf>
    <xf numFmtId="194" fontId="26" fillId="0" borderId="4" xfId="0" applyNumberFormat="1" applyFont="1" applyBorder="1" applyAlignment="1">
      <alignment horizontal="center" vertical="center"/>
    </xf>
    <xf numFmtId="3" fontId="26" fillId="0" borderId="4" xfId="0" applyNumberFormat="1" applyFont="1" applyBorder="1" applyAlignment="1">
      <alignment horizontal="center" vertical="center"/>
    </xf>
    <xf numFmtId="195" fontId="26" fillId="0" borderId="4" xfId="0" applyNumberFormat="1" applyFont="1" applyBorder="1" applyAlignment="1">
      <alignment horizontal="center" vertical="center"/>
    </xf>
    <xf numFmtId="194" fontId="8" fillId="0" borderId="0" xfId="0" applyNumberFormat="1" applyFont="1" applyAlignment="1">
      <alignment horizontal="center" vertical="center"/>
    </xf>
    <xf numFmtId="195" fontId="8" fillId="0" borderId="0" xfId="0" applyNumberFormat="1" applyFont="1" applyAlignment="1">
      <alignment horizontal="center" vertical="center"/>
    </xf>
    <xf numFmtId="164" fontId="26" fillId="0" borderId="0" xfId="0" applyNumberFormat="1" applyFont="1" applyAlignment="1">
      <alignment horizontal="center" vertical="center"/>
    </xf>
    <xf numFmtId="0" fontId="27" fillId="0" borderId="0" xfId="0" applyFont="1"/>
    <xf numFmtId="192" fontId="26" fillId="0" borderId="0" xfId="0" applyNumberFormat="1" applyFont="1" applyAlignment="1">
      <alignment horizontal="center" vertical="center"/>
    </xf>
    <xf numFmtId="164" fontId="26" fillId="0" borderId="4" xfId="0" applyNumberFormat="1" applyFont="1" applyBorder="1" applyAlignment="1">
      <alignment horizontal="center" vertical="center"/>
    </xf>
    <xf numFmtId="0" fontId="27" fillId="0" borderId="4" xfId="0" applyFont="1" applyBorder="1"/>
    <xf numFmtId="192" fontId="26" fillId="0" borderId="4" xfId="0" applyNumberFormat="1" applyFont="1" applyBorder="1" applyAlignment="1">
      <alignment horizontal="center" vertical="center"/>
    </xf>
    <xf numFmtId="0" fontId="21" fillId="0" borderId="0" xfId="0" applyFont="1" applyAlignment="1">
      <alignment horizontal="right" vertical="center"/>
    </xf>
    <xf numFmtId="194" fontId="28" fillId="0" borderId="0" xfId="0" applyNumberFormat="1" applyFont="1"/>
    <xf numFmtId="169" fontId="28" fillId="0" borderId="0" xfId="0" applyNumberFormat="1" applyFont="1" applyAlignment="1">
      <alignment horizontal="center" vertical="center"/>
    </xf>
    <xf numFmtId="0" fontId="10" fillId="0" borderId="0" xfId="0" applyFont="1" applyAlignment="1">
      <alignment horizontal="center" vertical="center"/>
    </xf>
    <xf numFmtId="0" fontId="29" fillId="0" borderId="0" xfId="0" applyFont="1" applyAlignment="1">
      <alignment horizontal="center" vertical="center"/>
    </xf>
    <xf numFmtId="194" fontId="29" fillId="0" borderId="0" xfId="0" applyNumberFormat="1" applyFont="1" applyAlignment="1">
      <alignment horizontal="center" vertical="center"/>
    </xf>
    <xf numFmtId="169" fontId="29" fillId="0" borderId="0" xfId="0" applyNumberFormat="1" applyFont="1" applyAlignment="1">
      <alignment horizontal="center" vertical="center"/>
    </xf>
    <xf numFmtId="164" fontId="29" fillId="0" borderId="0" xfId="0" applyNumberFormat="1" applyFont="1" applyAlignment="1">
      <alignment horizontal="center" vertical="center"/>
    </xf>
    <xf numFmtId="0" fontId="10" fillId="0" borderId="0" xfId="0" applyFont="1" applyAlignment="1">
      <alignment horizontal="right" vertical="center" indent="1"/>
    </xf>
    <xf numFmtId="164" fontId="30" fillId="3" borderId="5" xfId="0" applyNumberFormat="1" applyFont="1" applyFill="1" applyBorder="1" applyAlignment="1">
      <alignment horizontal="center" vertical="center"/>
    </xf>
    <xf numFmtId="164" fontId="30" fillId="0" borderId="0" xfId="0" applyNumberFormat="1" applyFont="1" applyAlignment="1">
      <alignment horizontal="center" vertical="center"/>
    </xf>
    <xf numFmtId="164" fontId="31" fillId="0" borderId="0" xfId="0" applyNumberFormat="1" applyFont="1" applyAlignment="1">
      <alignment horizontal="center" vertical="center"/>
    </xf>
    <xf numFmtId="194" fontId="7" fillId="0" borderId="0" xfId="0" applyNumberFormat="1" applyFont="1"/>
    <xf numFmtId="0" fontId="32" fillId="0" borderId="0" xfId="0" applyFont="1" applyAlignment="1">
      <alignment horizontal="right" vertical="center"/>
    </xf>
    <xf numFmtId="164" fontId="31" fillId="0" borderId="6" xfId="0" applyNumberFormat="1" applyFont="1" applyBorder="1" applyAlignment="1">
      <alignment horizontal="center" vertical="center"/>
    </xf>
    <xf numFmtId="164" fontId="31" fillId="3" borderId="5" xfId="0" applyNumberFormat="1" applyFont="1" applyFill="1" applyBorder="1" applyAlignment="1">
      <alignment horizontal="center" vertical="center"/>
    </xf>
    <xf numFmtId="194" fontId="33" fillId="0" borderId="0" xfId="0" applyNumberFormat="1" applyFont="1"/>
    <xf numFmtId="169" fontId="34" fillId="2" borderId="3" xfId="0" applyNumberFormat="1" applyFont="1" applyFill="1" applyBorder="1" applyAlignment="1">
      <alignment horizontal="center" vertical="center"/>
    </xf>
    <xf numFmtId="164" fontId="7" fillId="0" borderId="0" xfId="0" applyNumberFormat="1" applyFont="1" applyAlignment="1">
      <alignment vertical="center"/>
    </xf>
    <xf numFmtId="0" fontId="35" fillId="0" borderId="0" xfId="0" applyFont="1" applyAlignment="1">
      <alignment horizontal="center" vertical="center"/>
    </xf>
    <xf numFmtId="164" fontId="35" fillId="0" borderId="0" xfId="0" applyNumberFormat="1" applyFont="1" applyAlignment="1">
      <alignment horizontal="center" vertical="center"/>
    </xf>
    <xf numFmtId="195" fontId="26" fillId="0" borderId="0" xfId="0" applyNumberFormat="1" applyFont="1" applyAlignment="1">
      <alignment horizontal="center" vertical="center"/>
    </xf>
    <xf numFmtId="0" fontId="30" fillId="0" borderId="0" xfId="0" applyFont="1" applyAlignment="1">
      <alignment horizontal="center" vertical="center"/>
    </xf>
    <xf numFmtId="194" fontId="30" fillId="0" borderId="0" xfId="0" applyNumberFormat="1" applyFont="1" applyAlignment="1">
      <alignment horizontal="center" vertical="center"/>
    </xf>
    <xf numFmtId="169" fontId="30" fillId="0" borderId="0" xfId="0" applyNumberFormat="1" applyFont="1" applyAlignment="1">
      <alignment horizontal="center" vertical="center"/>
    </xf>
    <xf numFmtId="0" fontId="31" fillId="0" borderId="0" xfId="0" applyFont="1"/>
    <xf numFmtId="164" fontId="31" fillId="0" borderId="0" xfId="0" applyNumberFormat="1" applyFont="1"/>
    <xf numFmtId="0" fontId="2" fillId="4" borderId="0" xfId="0" applyFont="1" applyFill="1" applyAlignment="1">
      <alignment horizontal="center" vertical="center" wrapText="1"/>
    </xf>
    <xf numFmtId="0" fontId="36" fillId="4" borderId="0" xfId="0" applyFont="1" applyFill="1" applyAlignment="1">
      <alignment horizontal="center" vertical="center" wrapText="1"/>
    </xf>
    <xf numFmtId="0" fontId="37" fillId="4" borderId="0" xfId="0" applyFont="1" applyFill="1" applyAlignment="1">
      <alignment horizontal="center" vertical="center" wrapText="1"/>
    </xf>
    <xf numFmtId="164" fontId="8" fillId="0" borderId="0" xfId="0" applyNumberFormat="1" applyFont="1" applyAlignment="1">
      <alignment horizontal="right" vertical="center" indent="1"/>
    </xf>
    <xf numFmtId="169" fontId="7" fillId="0" borderId="0" xfId="0" applyNumberFormat="1" applyFont="1" applyAlignment="1">
      <alignment horizontal="center" vertical="center"/>
    </xf>
    <xf numFmtId="164" fontId="7" fillId="0" borderId="0" xfId="0" applyNumberFormat="1" applyFont="1" applyAlignment="1">
      <alignment horizontal="center" vertical="center"/>
    </xf>
    <xf numFmtId="3" fontId="7" fillId="0" borderId="0" xfId="0" applyNumberFormat="1" applyFont="1" applyAlignment="1">
      <alignment horizontal="center" vertical="center"/>
    </xf>
    <xf numFmtId="164" fontId="8" fillId="0" borderId="1" xfId="0" applyNumberFormat="1" applyFont="1" applyBorder="1" applyAlignment="1">
      <alignment horizontal="right" vertical="center" indent="1"/>
    </xf>
    <xf numFmtId="167" fontId="8" fillId="0" borderId="1" xfId="0" applyNumberFormat="1" applyFont="1" applyBorder="1" applyAlignment="1">
      <alignment horizontal="center" vertical="center"/>
    </xf>
    <xf numFmtId="164" fontId="8" fillId="0" borderId="7" xfId="0" applyNumberFormat="1" applyFont="1" applyBorder="1" applyAlignment="1">
      <alignment horizontal="right" vertical="center" indent="1"/>
    </xf>
    <xf numFmtId="164" fontId="7" fillId="0" borderId="0" xfId="0" quotePrefix="1" applyNumberFormat="1" applyFont="1" applyAlignment="1">
      <alignment horizontal="right" vertical="center" indent="1"/>
    </xf>
    <xf numFmtId="167" fontId="7" fillId="0" borderId="0" xfId="0" applyNumberFormat="1" applyFont="1"/>
    <xf numFmtId="0" fontId="7" fillId="0" borderId="0" xfId="0" quotePrefix="1" applyFont="1" applyAlignment="1">
      <alignment horizontal="right"/>
    </xf>
    <xf numFmtId="164" fontId="7" fillId="0" borderId="1" xfId="0" applyNumberFormat="1" applyFont="1" applyBorder="1" applyAlignment="1">
      <alignment horizontal="right" vertical="center" indent="1"/>
    </xf>
    <xf numFmtId="0" fontId="18" fillId="0" borderId="1" xfId="0" applyFont="1" applyBorder="1" applyAlignment="1">
      <alignment horizontal="center" vertical="center"/>
    </xf>
    <xf numFmtId="3" fontId="7" fillId="0" borderId="1" xfId="0" applyNumberFormat="1" applyFont="1" applyBorder="1"/>
    <xf numFmtId="164" fontId="7" fillId="0" borderId="1" xfId="0" applyNumberFormat="1" applyFont="1" applyBorder="1"/>
    <xf numFmtId="164" fontId="30" fillId="0" borderId="0" xfId="0" applyNumberFormat="1" applyFont="1" applyAlignment="1">
      <alignment horizontal="left" vertical="center"/>
    </xf>
    <xf numFmtId="164" fontId="7" fillId="0" borderId="1" xfId="0" applyNumberFormat="1" applyFont="1" applyBorder="1" applyAlignment="1">
      <alignment horizontal="right" vertical="center"/>
    </xf>
    <xf numFmtId="164" fontId="8" fillId="0" borderId="0" xfId="0" applyNumberFormat="1" applyFont="1" applyAlignment="1">
      <alignment horizontal="left" vertical="center" indent="1"/>
    </xf>
    <xf numFmtId="0" fontId="38" fillId="0" borderId="0" xfId="0" applyFont="1" applyAlignment="1">
      <alignment horizontal="center" vertical="center" wrapText="1"/>
    </xf>
    <xf numFmtId="0" fontId="38" fillId="5" borderId="0" xfId="0" applyFont="1" applyFill="1" applyAlignment="1">
      <alignment horizontal="center" vertical="center" wrapText="1"/>
    </xf>
    <xf numFmtId="187" fontId="12" fillId="0" borderId="0" xfId="1" applyNumberFormat="1" applyFont="1" applyAlignment="1">
      <alignment horizontal="center" vertical="center"/>
    </xf>
    <xf numFmtId="0" fontId="40" fillId="0" borderId="0" xfId="0" applyFont="1" applyAlignment="1">
      <alignment horizontal="center" vertical="center"/>
    </xf>
    <xf numFmtId="3" fontId="40" fillId="0" borderId="0" xfId="0" applyNumberFormat="1" applyFont="1" applyAlignment="1">
      <alignment horizontal="center" vertical="center"/>
    </xf>
    <xf numFmtId="164" fontId="40" fillId="0" borderId="0" xfId="0" applyNumberFormat="1" applyFont="1" applyAlignment="1">
      <alignment horizontal="center" vertical="center"/>
    </xf>
    <xf numFmtId="177" fontId="8" fillId="0" borderId="0" xfId="0" applyNumberFormat="1" applyFont="1" applyAlignment="1">
      <alignment horizontal="center" vertical="center"/>
    </xf>
    <xf numFmtId="196" fontId="7" fillId="0" borderId="0" xfId="0" applyNumberFormat="1" applyFont="1"/>
    <xf numFmtId="197" fontId="3" fillId="0" borderId="0" xfId="0" applyNumberFormat="1" applyFont="1"/>
    <xf numFmtId="187" fontId="34" fillId="0" borderId="0" xfId="1" applyNumberFormat="1" applyFont="1" applyAlignment="1">
      <alignment horizontal="right" vertical="center"/>
    </xf>
    <xf numFmtId="187" fontId="34" fillId="0" borderId="1" xfId="1" applyNumberFormat="1" applyFont="1" applyBorder="1" applyAlignment="1">
      <alignment horizontal="right" vertical="center"/>
    </xf>
    <xf numFmtId="177" fontId="8" fillId="0" borderId="1" xfId="0" applyNumberFormat="1" applyFont="1" applyBorder="1" applyAlignment="1">
      <alignment horizontal="center" vertical="center"/>
    </xf>
    <xf numFmtId="0" fontId="18" fillId="0" borderId="0" xfId="0" applyFont="1" applyAlignment="1">
      <alignment horizontal="right"/>
    </xf>
    <xf numFmtId="187" fontId="7" fillId="0" borderId="0" xfId="1" applyNumberFormat="1" applyFont="1" applyAlignment="1">
      <alignment horizontal="right" vertical="center" indent="1"/>
    </xf>
    <xf numFmtId="198" fontId="12" fillId="0" borderId="0" xfId="0" applyNumberFormat="1" applyFont="1" applyAlignment="1">
      <alignment horizontal="center" vertical="center"/>
    </xf>
    <xf numFmtId="199" fontId="7" fillId="0" borderId="0" xfId="0" applyNumberFormat="1" applyFont="1" applyAlignment="1">
      <alignment horizontal="center" vertical="center"/>
    </xf>
    <xf numFmtId="0" fontId="11" fillId="0" borderId="0" xfId="0" applyFont="1" applyAlignment="1">
      <alignment horizontal="right" vertical="center" wrapText="1" indent="1"/>
    </xf>
    <xf numFmtId="200" fontId="12" fillId="0" borderId="0" xfId="0" applyNumberFormat="1" applyFont="1" applyAlignment="1">
      <alignment horizontal="center" vertical="center"/>
    </xf>
    <xf numFmtId="165" fontId="7" fillId="0" borderId="0" xfId="0" applyNumberFormat="1" applyFont="1" applyAlignment="1">
      <alignment horizontal="center" vertical="center"/>
    </xf>
    <xf numFmtId="201" fontId="8" fillId="0" borderId="0" xfId="0" applyNumberFormat="1" applyFont="1" applyAlignment="1">
      <alignment horizontal="center" vertical="center"/>
    </xf>
    <xf numFmtId="164" fontId="18" fillId="0" borderId="0" xfId="0" applyNumberFormat="1" applyFont="1" applyAlignment="1">
      <alignment horizontal="center" vertical="center"/>
    </xf>
    <xf numFmtId="187" fontId="7" fillId="0" borderId="1" xfId="1" applyNumberFormat="1" applyFont="1" applyBorder="1" applyAlignment="1">
      <alignment horizontal="right" vertical="center" indent="1"/>
    </xf>
    <xf numFmtId="164" fontId="18" fillId="0" borderId="1" xfId="0" applyNumberFormat="1" applyFont="1" applyBorder="1" applyAlignment="1">
      <alignment horizontal="center" vertical="center"/>
    </xf>
    <xf numFmtId="187" fontId="8" fillId="0" borderId="0" xfId="1" applyNumberFormat="1" applyFont="1" applyAlignment="1">
      <alignment horizontal="left" vertical="center" indent="1"/>
    </xf>
    <xf numFmtId="0" fontId="44" fillId="0" borderId="0" xfId="0" applyFont="1" applyAlignment="1">
      <alignment horizontal="center" vertical="center" wrapText="1"/>
    </xf>
    <xf numFmtId="0" fontId="45" fillId="0" borderId="0" xfId="0" applyFont="1" applyAlignment="1">
      <alignment horizontal="center" vertical="center" wrapText="1"/>
    </xf>
    <xf numFmtId="0" fontId="40" fillId="0" borderId="0" xfId="0" applyFont="1"/>
    <xf numFmtId="164" fontId="40" fillId="0" borderId="0" xfId="0" applyNumberFormat="1" applyFont="1"/>
    <xf numFmtId="187" fontId="18" fillId="0" borderId="0" xfId="1" applyNumberFormat="1" applyFont="1" applyAlignment="1">
      <alignment horizontal="right" vertical="center" indent="1"/>
    </xf>
    <xf numFmtId="164" fontId="46" fillId="0" borderId="0" xfId="0" applyNumberFormat="1" applyFont="1" applyAlignment="1">
      <alignment horizontal="center" vertical="center"/>
    </xf>
    <xf numFmtId="202" fontId="8" fillId="0" borderId="0" xfId="0" applyNumberFormat="1" applyFont="1" applyAlignment="1">
      <alignment horizontal="center" vertical="center"/>
    </xf>
    <xf numFmtId="187" fontId="47" fillId="0" borderId="0" xfId="1" applyNumberFormat="1" applyFont="1" applyAlignment="1">
      <alignment horizontal="right" vertical="center" indent="1"/>
    </xf>
    <xf numFmtId="187" fontId="47" fillId="0" borderId="1" xfId="1" applyNumberFormat="1" applyFont="1" applyBorder="1" applyAlignment="1">
      <alignment horizontal="right" vertical="center" indent="1"/>
    </xf>
    <xf numFmtId="164" fontId="46" fillId="0" borderId="1" xfId="0" applyNumberFormat="1" applyFont="1" applyBorder="1" applyAlignment="1">
      <alignment horizontal="center" vertical="center"/>
    </xf>
    <xf numFmtId="3" fontId="46" fillId="0" borderId="1" xfId="0" applyNumberFormat="1" applyFont="1" applyBorder="1" applyAlignment="1">
      <alignment horizontal="center" vertical="center"/>
    </xf>
    <xf numFmtId="0" fontId="4" fillId="0" borderId="0" xfId="0" applyFont="1" applyAlignment="1">
      <alignment horizontal="left" vertical="center"/>
    </xf>
    <xf numFmtId="203" fontId="8" fillId="0" borderId="0" xfId="0" applyNumberFormat="1" applyFont="1" applyAlignment="1">
      <alignment horizontal="center" vertical="center"/>
    </xf>
    <xf numFmtId="0" fontId="38" fillId="4" borderId="0" xfId="0" applyFont="1" applyFill="1" applyAlignment="1">
      <alignment horizontal="center" vertical="center" wrapText="1"/>
    </xf>
    <xf numFmtId="0" fontId="48" fillId="4" borderId="0" xfId="0" applyFont="1" applyFill="1" applyAlignment="1">
      <alignment horizontal="center" vertical="center" wrapText="1"/>
    </xf>
    <xf numFmtId="0" fontId="0" fillId="0" borderId="0" xfId="0" applyAlignment="1">
      <alignment horizontal="center" vertical="center"/>
    </xf>
    <xf numFmtId="0" fontId="50" fillId="5" borderId="0" xfId="0" applyFont="1" applyFill="1" applyAlignment="1">
      <alignment horizontal="center" vertical="center"/>
    </xf>
    <xf numFmtId="0" fontId="5" fillId="0" borderId="0" xfId="0" applyFont="1" applyAlignment="1">
      <alignment horizontal="center" vertical="center"/>
    </xf>
    <xf numFmtId="0" fontId="51" fillId="0" borderId="0" xfId="0" applyFont="1" applyAlignment="1">
      <alignment horizontal="right" indent="1"/>
    </xf>
    <xf numFmtId="4" fontId="8" fillId="0" borderId="0" xfId="0" applyNumberFormat="1" applyFont="1" applyAlignment="1">
      <alignment horizontal="center" vertical="center"/>
    </xf>
    <xf numFmtId="164" fontId="0" fillId="0" borderId="0" xfId="0" applyNumberFormat="1"/>
    <xf numFmtId="0" fontId="51" fillId="0" borderId="1" xfId="0" applyFont="1" applyBorder="1" applyAlignment="1">
      <alignment horizontal="right" indent="1"/>
    </xf>
    <xf numFmtId="3" fontId="8"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0" fillId="4" borderId="0" xfId="0" applyFill="1"/>
    <xf numFmtId="180" fontId="0" fillId="0" borderId="0" xfId="0" applyNumberFormat="1" applyAlignment="1">
      <alignment horizontal="center" vertical="center"/>
    </xf>
    <xf numFmtId="0" fontId="0" fillId="0" borderId="0" xfId="0" quotePrefix="1" applyAlignment="1">
      <alignment horizontal="center" vertical="center"/>
    </xf>
    <xf numFmtId="1" fontId="0" fillId="0" borderId="0" xfId="0" applyNumberFormat="1" applyAlignment="1">
      <alignment horizontal="center" vertical="center"/>
    </xf>
    <xf numFmtId="0" fontId="0" fillId="0" borderId="1" xfId="0" quotePrefix="1" applyBorder="1" applyAlignment="1">
      <alignment horizontal="center" vertical="center"/>
    </xf>
    <xf numFmtId="2" fontId="7" fillId="0" borderId="0" xfId="0" applyNumberFormat="1" applyFont="1"/>
    <xf numFmtId="187" fontId="10" fillId="0" borderId="0" xfId="1" applyNumberFormat="1" applyFont="1" applyAlignment="1">
      <alignment horizontal="left" vertical="center"/>
    </xf>
    <xf numFmtId="0" fontId="8" fillId="6" borderId="0" xfId="0" applyFont="1" applyFill="1" applyAlignment="1">
      <alignment horizontal="center" vertical="center"/>
    </xf>
    <xf numFmtId="0" fontId="12" fillId="7" borderId="8" xfId="0" applyFont="1" applyFill="1" applyBorder="1" applyAlignment="1">
      <alignment horizontal="center" vertical="center"/>
    </xf>
    <xf numFmtId="204" fontId="8" fillId="0" borderId="0" xfId="0" applyNumberFormat="1" applyFont="1" applyAlignment="1">
      <alignment horizontal="center" vertical="center"/>
    </xf>
    <xf numFmtId="0" fontId="6" fillId="0" borderId="0" xfId="2"/>
    <xf numFmtId="204" fontId="8" fillId="0" borderId="1" xfId="0" applyNumberFormat="1" applyFont="1" applyBorder="1" applyAlignment="1">
      <alignment horizontal="center" vertical="center"/>
    </xf>
    <xf numFmtId="205" fontId="7" fillId="0" borderId="0" xfId="1" applyNumberFormat="1" applyFont="1" applyFill="1" applyBorder="1"/>
    <xf numFmtId="187" fontId="0" fillId="0" borderId="0" xfId="1" applyNumberFormat="1" applyFont="1"/>
    <xf numFmtId="205" fontId="7" fillId="0" borderId="0" xfId="1" applyNumberFormat="1" applyFont="1" applyFill="1" applyBorder="1" applyAlignment="1">
      <alignment horizontal="right"/>
    </xf>
    <xf numFmtId="206" fontId="27" fillId="0" borderId="0" xfId="1" applyNumberFormat="1" applyFont="1"/>
    <xf numFmtId="3" fontId="27" fillId="0" borderId="0" xfId="0" applyNumberFormat="1" applyFont="1"/>
    <xf numFmtId="177" fontId="27" fillId="0" borderId="0" xfId="0" applyNumberFormat="1" applyFont="1"/>
    <xf numFmtId="2" fontId="27" fillId="0" borderId="0" xfId="0" applyNumberFormat="1" applyFont="1"/>
    <xf numFmtId="0" fontId="18" fillId="0" borderId="0" xfId="0" applyFont="1" applyAlignment="1">
      <alignment horizontal="left" vertical="center"/>
    </xf>
    <xf numFmtId="0" fontId="50" fillId="4" borderId="0" xfId="0" applyFont="1" applyFill="1" applyAlignment="1">
      <alignment horizontal="center" vertical="center" wrapText="1"/>
    </xf>
    <xf numFmtId="205" fontId="7" fillId="0" borderId="1" xfId="1" applyNumberFormat="1" applyFont="1" applyFill="1" applyBorder="1" applyAlignment="1">
      <alignment horizontal="right"/>
    </xf>
    <xf numFmtId="207" fontId="40" fillId="0" borderId="1" xfId="0" applyNumberFormat="1" applyFont="1" applyBorder="1" applyAlignment="1">
      <alignment horizontal="center" vertical="center"/>
    </xf>
    <xf numFmtId="206" fontId="40" fillId="0" borderId="1" xfId="1" applyNumberFormat="1" applyFont="1" applyBorder="1" applyAlignment="1">
      <alignment horizontal="center" vertical="center"/>
    </xf>
    <xf numFmtId="208" fontId="8" fillId="0" borderId="0" xfId="0" applyNumberFormat="1" applyFont="1" applyAlignment="1">
      <alignment horizontal="center" vertical="center"/>
    </xf>
    <xf numFmtId="209" fontId="0" fillId="0" borderId="0" xfId="0" applyNumberFormat="1"/>
    <xf numFmtId="188" fontId="0" fillId="0" borderId="0" xfId="0" applyNumberFormat="1"/>
    <xf numFmtId="207" fontId="40" fillId="0" borderId="0" xfId="0" applyNumberFormat="1" applyFont="1" applyAlignment="1">
      <alignment horizontal="center" vertical="center"/>
    </xf>
    <xf numFmtId="0" fontId="11" fillId="0" borderId="1" xfId="0" applyFont="1" applyBorder="1" applyAlignment="1">
      <alignment horizontal="center" vertical="center"/>
    </xf>
    <xf numFmtId="210" fontId="8" fillId="0" borderId="1" xfId="0" applyNumberFormat="1" applyFont="1" applyBorder="1" applyAlignment="1">
      <alignment horizontal="center" vertical="center"/>
    </xf>
    <xf numFmtId="211" fontId="0" fillId="0" borderId="0" xfId="0" applyNumberFormat="1"/>
    <xf numFmtId="0" fontId="7" fillId="0" borderId="0" xfId="0" applyFont="1" applyAlignment="1">
      <alignment horizontal="right"/>
    </xf>
    <xf numFmtId="190" fontId="18" fillId="0" borderId="0" xfId="0" applyNumberFormat="1" applyFont="1" applyAlignment="1">
      <alignment horizontal="center" vertical="center"/>
    </xf>
    <xf numFmtId="0" fontId="7" fillId="0" borderId="1" xfId="0" applyFont="1" applyBorder="1" applyAlignment="1">
      <alignment horizontal="right" vertical="center" indent="1"/>
    </xf>
    <xf numFmtId="0" fontId="10" fillId="0" borderId="0" xfId="0" applyFont="1" applyAlignment="1">
      <alignment horizontal="left" vertical="center" indent="1"/>
    </xf>
    <xf numFmtId="0" fontId="46" fillId="0" borderId="0" xfId="0" applyFont="1" applyAlignment="1">
      <alignment horizontal="right" vertical="center" indent="1"/>
    </xf>
    <xf numFmtId="0" fontId="11" fillId="0" borderId="0" xfId="0" applyFont="1" applyAlignment="1">
      <alignment horizontal="right" vertical="center" indent="2"/>
    </xf>
    <xf numFmtId="212" fontId="12" fillId="0" borderId="0" xfId="0" applyNumberFormat="1" applyFont="1" applyAlignment="1">
      <alignment horizontal="center" vertical="center"/>
    </xf>
    <xf numFmtId="187" fontId="7" fillId="0" borderId="0" xfId="1" applyNumberFormat="1" applyFont="1" applyAlignment="1">
      <alignment horizontal="right" vertical="center"/>
    </xf>
    <xf numFmtId="198" fontId="8" fillId="0" borderId="0" xfId="0" applyNumberFormat="1" applyFont="1" applyAlignment="1">
      <alignment horizontal="center" vertical="center"/>
    </xf>
    <xf numFmtId="187" fontId="8" fillId="0" borderId="0" xfId="1" applyNumberFormat="1" applyFont="1" applyAlignment="1">
      <alignment horizontal="left"/>
    </xf>
    <xf numFmtId="0" fontId="2" fillId="5" borderId="0" xfId="0" applyFont="1" applyFill="1" applyAlignment="1">
      <alignment horizontal="center" vertical="center" wrapText="1"/>
    </xf>
    <xf numFmtId="0" fontId="0" fillId="0" borderId="0" xfId="0" applyAlignment="1">
      <alignment vertical="center"/>
    </xf>
    <xf numFmtId="0" fontId="21" fillId="0" borderId="0" xfId="0" applyFont="1" applyAlignment="1">
      <alignment horizontal="center" vertical="center"/>
    </xf>
    <xf numFmtId="167" fontId="12" fillId="0" borderId="0" xfId="0" applyNumberFormat="1" applyFont="1" applyAlignment="1">
      <alignment horizontal="center" vertical="center"/>
    </xf>
    <xf numFmtId="0" fontId="17" fillId="0" borderId="0" xfId="0" applyFont="1" applyAlignment="1">
      <alignment horizontal="center" vertical="center"/>
    </xf>
    <xf numFmtId="0" fontId="57" fillId="0" borderId="0" xfId="0" applyFont="1" applyAlignment="1">
      <alignment horizontal="center" vertical="center"/>
    </xf>
    <xf numFmtId="0" fontId="51" fillId="0" borderId="0" xfId="0" applyFont="1" applyAlignment="1">
      <alignment horizontal="center" vertical="center"/>
    </xf>
    <xf numFmtId="0" fontId="21" fillId="0" borderId="0" xfId="0" applyFont="1" applyAlignment="1">
      <alignment horizontal="center" vertical="center" wrapText="1"/>
    </xf>
    <xf numFmtId="165" fontId="12" fillId="0" borderId="0" xfId="0" applyNumberFormat="1" applyFont="1" applyAlignment="1">
      <alignment horizontal="center" vertical="center"/>
    </xf>
    <xf numFmtId="213" fontId="8" fillId="0" borderId="0" xfId="0" applyNumberFormat="1" applyFont="1" applyAlignment="1">
      <alignment horizontal="center" vertical="center"/>
    </xf>
    <xf numFmtId="213" fontId="12" fillId="0" borderId="0" xfId="0" applyNumberFormat="1" applyFont="1" applyAlignment="1">
      <alignment horizontal="center" vertical="center"/>
    </xf>
    <xf numFmtId="49" fontId="7" fillId="0" borderId="0" xfId="1" applyNumberFormat="1" applyFont="1" applyAlignment="1">
      <alignment horizontal="center" vertical="center"/>
    </xf>
    <xf numFmtId="214" fontId="8" fillId="0" borderId="0" xfId="0" applyNumberFormat="1" applyFont="1" applyAlignment="1">
      <alignment horizontal="center" vertical="center"/>
    </xf>
    <xf numFmtId="0" fontId="60" fillId="0" borderId="0" xfId="0" applyFont="1" applyAlignment="1">
      <alignment horizontal="center" vertical="center"/>
    </xf>
    <xf numFmtId="215" fontId="8" fillId="0" borderId="0" xfId="0" applyNumberFormat="1" applyFont="1" applyAlignment="1">
      <alignment horizontal="center" vertical="center"/>
    </xf>
    <xf numFmtId="216" fontId="8" fillId="0" borderId="0" xfId="0" applyNumberFormat="1" applyFont="1" applyAlignment="1">
      <alignment horizontal="center" vertical="center"/>
    </xf>
    <xf numFmtId="217" fontId="8" fillId="0" borderId="0" xfId="0" applyNumberFormat="1" applyFont="1" applyAlignment="1">
      <alignment horizontal="center" vertical="center"/>
    </xf>
    <xf numFmtId="218" fontId="8" fillId="0" borderId="0" xfId="0" applyNumberFormat="1" applyFont="1" applyAlignment="1">
      <alignment horizontal="center" vertical="center"/>
    </xf>
    <xf numFmtId="218" fontId="12" fillId="0" borderId="0" xfId="0" applyNumberFormat="1" applyFont="1" applyAlignment="1">
      <alignment horizontal="center" vertical="center"/>
    </xf>
    <xf numFmtId="219" fontId="8" fillId="0" borderId="0" xfId="0" applyNumberFormat="1" applyFont="1" applyAlignment="1">
      <alignment horizontal="center" vertical="center"/>
    </xf>
    <xf numFmtId="0" fontId="21" fillId="0" borderId="1" xfId="0" applyFont="1" applyBorder="1" applyAlignment="1">
      <alignment horizontal="center" vertical="center" wrapText="1"/>
    </xf>
    <xf numFmtId="220" fontId="8" fillId="0" borderId="1" xfId="0" applyNumberFormat="1" applyFont="1" applyBorder="1" applyAlignment="1">
      <alignment horizontal="center" vertical="center"/>
    </xf>
    <xf numFmtId="0" fontId="60" fillId="0" borderId="1" xfId="0" applyFont="1" applyBorder="1" applyAlignment="1">
      <alignment horizontal="center" vertical="center"/>
    </xf>
    <xf numFmtId="203" fontId="8" fillId="0" borderId="1" xfId="0" applyNumberFormat="1" applyFont="1" applyBorder="1" applyAlignment="1">
      <alignment horizontal="center" vertical="center"/>
    </xf>
    <xf numFmtId="221" fontId="8" fillId="0" borderId="1" xfId="0" applyNumberFormat="1" applyFont="1" applyBorder="1" applyAlignment="1">
      <alignment horizontal="center" vertical="center"/>
    </xf>
    <xf numFmtId="0" fontId="7" fillId="0" borderId="1" xfId="0" applyFont="1" applyBorder="1" applyAlignment="1">
      <alignment horizontal="center" vertical="center"/>
    </xf>
    <xf numFmtId="222" fontId="12" fillId="0" borderId="0" xfId="0" applyNumberFormat="1" applyFont="1" applyAlignment="1">
      <alignment horizontal="center" vertical="center"/>
    </xf>
    <xf numFmtId="164" fontId="7" fillId="0" borderId="0" xfId="0" applyNumberFormat="1" applyFont="1" applyAlignment="1">
      <alignment horizontal="right" indent="1"/>
    </xf>
    <xf numFmtId="223" fontId="8" fillId="0" borderId="0" xfId="0" applyNumberFormat="1" applyFont="1" applyAlignment="1">
      <alignment horizontal="center" vertical="center"/>
    </xf>
    <xf numFmtId="0" fontId="61" fillId="0" borderId="0" xfId="0" applyFont="1" applyAlignment="1">
      <alignment horizontal="center" vertical="center"/>
    </xf>
    <xf numFmtId="0" fontId="21" fillId="0" borderId="1" xfId="0" applyFont="1" applyBorder="1" applyAlignment="1">
      <alignment horizontal="center" vertical="center"/>
    </xf>
    <xf numFmtId="165" fontId="8" fillId="0" borderId="1" xfId="0" applyNumberFormat="1" applyFont="1" applyBorder="1" applyAlignment="1">
      <alignment horizontal="center" vertical="center"/>
    </xf>
    <xf numFmtId="0" fontId="40" fillId="0" borderId="1" xfId="0" applyFont="1" applyBorder="1" applyAlignment="1">
      <alignment horizontal="center" vertical="center"/>
    </xf>
    <xf numFmtId="0" fontId="12" fillId="0" borderId="1" xfId="0" applyFont="1" applyBorder="1" applyAlignment="1">
      <alignment horizontal="center" vertical="center"/>
    </xf>
    <xf numFmtId="224" fontId="18" fillId="0" borderId="0" xfId="0" applyNumberFormat="1" applyFont="1" applyAlignment="1">
      <alignment horizontal="center" vertical="center"/>
    </xf>
    <xf numFmtId="224" fontId="18" fillId="0" borderId="1" xfId="0" applyNumberFormat="1" applyFont="1" applyBorder="1" applyAlignment="1">
      <alignment horizontal="center" vertical="center"/>
    </xf>
    <xf numFmtId="187" fontId="10" fillId="0" borderId="0" xfId="1" applyNumberFormat="1" applyFont="1"/>
    <xf numFmtId="207" fontId="12" fillId="0" borderId="0" xfId="0" applyNumberFormat="1" applyFont="1" applyAlignment="1">
      <alignment horizontal="center" vertical="center"/>
    </xf>
    <xf numFmtId="0" fontId="0" fillId="0" borderId="0" xfId="0" applyAlignment="1">
      <alignment horizontal="left" vertical="center"/>
    </xf>
    <xf numFmtId="0" fontId="68" fillId="0" borderId="0" xfId="0" applyFont="1" applyAlignment="1">
      <alignment horizontal="left" vertical="center"/>
    </xf>
    <xf numFmtId="164" fontId="7" fillId="0" borderId="0" xfId="0" applyNumberFormat="1" applyFont="1" applyAlignment="1">
      <alignment horizontal="left" vertical="center"/>
    </xf>
    <xf numFmtId="0" fontId="7" fillId="0" borderId="0" xfId="0" applyFont="1" applyAlignment="1">
      <alignment horizontal="left" vertical="center"/>
    </xf>
    <xf numFmtId="0" fontId="4" fillId="0" borderId="0" xfId="0" applyFont="1" applyAlignment="1">
      <alignment horizontal="right" vertical="center" indent="1"/>
    </xf>
    <xf numFmtId="1" fontId="7" fillId="0" borderId="0" xfId="0" applyNumberFormat="1" applyFont="1" applyAlignment="1">
      <alignment horizontal="center" vertical="center"/>
    </xf>
    <xf numFmtId="0" fontId="0" fillId="0" borderId="1" xfId="0" applyBorder="1"/>
    <xf numFmtId="0" fontId="68" fillId="0" borderId="0" xfId="0" applyFont="1" applyAlignment="1">
      <alignment horizontal="center" vertical="center" wrapText="1"/>
    </xf>
    <xf numFmtId="0" fontId="68" fillId="8" borderId="9" xfId="0" applyFont="1" applyFill="1" applyBorder="1" applyAlignment="1">
      <alignment horizontal="center" vertical="center" wrapText="1"/>
    </xf>
    <xf numFmtId="0" fontId="68" fillId="8" borderId="1" xfId="0" applyFont="1" applyFill="1" applyBorder="1" applyAlignment="1">
      <alignment horizontal="center" vertical="center" wrapText="1"/>
    </xf>
    <xf numFmtId="225" fontId="68" fillId="8" borderId="1" xfId="0" applyNumberFormat="1" applyFont="1" applyFill="1" applyBorder="1" applyAlignment="1">
      <alignment horizontal="center" vertical="center" wrapText="1"/>
    </xf>
    <xf numFmtId="0" fontId="68" fillId="0" borderId="0" xfId="0" applyFont="1" applyAlignment="1">
      <alignment horizontal="left" vertical="center" wrapText="1" indent="2"/>
    </xf>
    <xf numFmtId="0" fontId="12" fillId="0" borderId="8" xfId="0" applyFont="1" applyBorder="1" applyAlignment="1">
      <alignment horizontal="center" vertical="center"/>
    </xf>
    <xf numFmtId="0" fontId="40" fillId="0" borderId="8" xfId="0" applyFont="1" applyBorder="1" applyAlignment="1">
      <alignment horizontal="center" vertical="center"/>
    </xf>
    <xf numFmtId="0" fontId="8" fillId="0" borderId="0" xfId="0" applyFont="1"/>
    <xf numFmtId="2" fontId="8" fillId="0" borderId="0" xfId="0" applyNumberFormat="1" applyFont="1" applyAlignment="1">
      <alignment horizontal="center" vertical="center"/>
    </xf>
    <xf numFmtId="0" fontId="4" fillId="0" borderId="0" xfId="0" applyFont="1"/>
    <xf numFmtId="177" fontId="50" fillId="9" borderId="0" xfId="0" applyNumberFormat="1" applyFont="1" applyFill="1" applyAlignment="1">
      <alignment horizontal="center" vertical="center"/>
    </xf>
    <xf numFmtId="177" fontId="8" fillId="10" borderId="0" xfId="0" applyNumberFormat="1" applyFont="1" applyFill="1" applyAlignment="1">
      <alignment horizontal="center" vertical="center"/>
    </xf>
    <xf numFmtId="2" fontId="8" fillId="10" borderId="0" xfId="0" applyNumberFormat="1" applyFont="1" applyFill="1" applyAlignment="1">
      <alignment horizontal="center" vertical="center"/>
    </xf>
    <xf numFmtId="177" fontId="7" fillId="0" borderId="0" xfId="0" applyNumberFormat="1" applyFont="1"/>
    <xf numFmtId="0" fontId="69" fillId="0" borderId="0" xfId="0" applyFont="1"/>
    <xf numFmtId="177" fontId="4" fillId="0" borderId="0" xfId="0" applyNumberFormat="1" applyFont="1"/>
    <xf numFmtId="226" fontId="7" fillId="0" borderId="0" xfId="0" applyNumberFormat="1" applyFont="1"/>
    <xf numFmtId="164" fontId="7" fillId="0" borderId="0" xfId="0" applyNumberFormat="1" applyFont="1" applyAlignment="1">
      <alignment horizontal="center"/>
    </xf>
    <xf numFmtId="0" fontId="8" fillId="0" borderId="0" xfId="0" applyFont="1" applyAlignment="1">
      <alignment horizontal="left" vertical="center"/>
    </xf>
    <xf numFmtId="205" fontId="8" fillId="0" borderId="0" xfId="1" applyNumberFormat="1" applyFont="1" applyFill="1" applyBorder="1" applyAlignment="1">
      <alignment horizontal="center" vertical="center"/>
    </xf>
    <xf numFmtId="3" fontId="12" fillId="0" borderId="0" xfId="0" applyNumberFormat="1" applyFont="1" applyAlignment="1">
      <alignment horizontal="center" vertical="center"/>
    </xf>
    <xf numFmtId="224" fontId="8" fillId="0" borderId="0" xfId="0" applyNumberFormat="1" applyFont="1" applyAlignment="1">
      <alignment horizontal="center" vertical="center"/>
    </xf>
    <xf numFmtId="164" fontId="11" fillId="0" borderId="0" xfId="0" applyNumberFormat="1" applyFont="1" applyAlignment="1">
      <alignment horizontal="center" vertical="center"/>
    </xf>
    <xf numFmtId="205" fontId="8" fillId="0" borderId="0" xfId="1" applyNumberFormat="1" applyFont="1" applyFill="1" applyBorder="1"/>
    <xf numFmtId="3" fontId="12" fillId="0" borderId="0" xfId="0" applyNumberFormat="1" applyFont="1"/>
    <xf numFmtId="0" fontId="12" fillId="0" borderId="0" xfId="0" applyFont="1"/>
    <xf numFmtId="0" fontId="8" fillId="0" borderId="1" xfId="0" applyFont="1" applyBorder="1" applyAlignment="1">
      <alignment horizontal="center" vertical="center"/>
    </xf>
    <xf numFmtId="164" fontId="7" fillId="0" borderId="1" xfId="0" applyNumberFormat="1" applyFont="1" applyBorder="1" applyAlignment="1">
      <alignment horizontal="center" vertical="center"/>
    </xf>
    <xf numFmtId="3" fontId="12"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205" fontId="7" fillId="0" borderId="0" xfId="1" applyNumberFormat="1" applyFont="1" applyFill="1" applyBorder="1" applyAlignment="1">
      <alignment horizontal="center" vertical="center"/>
    </xf>
    <xf numFmtId="164" fontId="27" fillId="0" borderId="0" xfId="0" applyNumberFormat="1" applyFont="1" applyAlignment="1">
      <alignment horizontal="center" vertical="center"/>
    </xf>
    <xf numFmtId="225" fontId="0" fillId="0" borderId="0" xfId="0" applyNumberFormat="1"/>
    <xf numFmtId="226" fontId="0" fillId="0" borderId="0" xfId="0" applyNumberFormat="1"/>
    <xf numFmtId="227" fontId="0" fillId="0" borderId="0" xfId="0" applyNumberFormat="1"/>
    <xf numFmtId="172" fontId="0" fillId="0" borderId="0" xfId="0" applyNumberFormat="1" applyAlignment="1">
      <alignment vertical="center"/>
    </xf>
    <xf numFmtId="177" fontId="0" fillId="0" borderId="0" xfId="0" applyNumberFormat="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5</xdr:col>
      <xdr:colOff>604039</xdr:colOff>
      <xdr:row>235</xdr:row>
      <xdr:rowOff>72592</xdr:rowOff>
    </xdr:from>
    <xdr:ext cx="590021" cy="607219"/>
    <mc:AlternateContent xmlns:mc="http://schemas.openxmlformats.org/markup-compatibility/2006">
      <mc:Choice xmlns:a14="http://schemas.microsoft.com/office/drawing/2010/main" Requires="a14">
        <xdr:sp macro="" textlink="">
          <xdr:nvSpPr>
            <xdr:cNvPr id="2" name="TextBox 1">
              <a:extLst>
                <a:ext uri="{FF2B5EF4-FFF2-40B4-BE49-F238E27FC236}">
                  <a16:creationId xmlns:a16="http://schemas.microsoft.com/office/drawing/2014/main" id="{4EA34AAB-43F1-4914-AEBA-F4C5044D4A6F}"/>
                </a:ext>
              </a:extLst>
            </xdr:cNvPr>
            <xdr:cNvSpPr txBox="1"/>
          </xdr:nvSpPr>
          <xdr:spPr>
            <a:xfrm>
              <a:off x="7909714" y="65337892"/>
              <a:ext cx="59002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lang="en-US" sz="1400" i="1">
                            <a:solidFill>
                              <a:schemeClr val="bg1"/>
                            </a:solidFill>
                            <a:latin typeface="Cambria Math" panose="02040503050406030204" pitchFamily="18" charset="0"/>
                            <a:ea typeface="Cambria Math" panose="02040503050406030204" pitchFamily="18" charset="0"/>
                          </a:rPr>
                        </m:ctrlPr>
                      </m:fPr>
                      <m:num>
                        <m:r>
                          <a:rPr lang="en-US" sz="1400" b="0" i="1">
                            <a:solidFill>
                              <a:schemeClr val="bg1"/>
                            </a:solidFill>
                            <a:latin typeface="Cambria Math" panose="02040503050406030204" pitchFamily="18" charset="0"/>
                            <a:ea typeface="Cambria Math" panose="02040503050406030204" pitchFamily="18" charset="0"/>
                          </a:rPr>
                          <m:t>𝑀</m:t>
                        </m:r>
                      </m:num>
                      <m:den>
                        <m:r>
                          <a:rPr kumimoji="0" lang="en-US" sz="1400" b="0" i="1" u="none" strike="noStrike" kern="1200" cap="none" spc="0" normalizeH="0" baseline="0" noProof="0">
                            <a:ln>
                              <a:noFill/>
                            </a:ln>
                            <a:solidFill>
                              <a:schemeClr val="bg1"/>
                            </a:solidFill>
                            <a:effectLst/>
                            <a:uLnTx/>
                            <a:uFillTx/>
                            <a:latin typeface="Cambria Math" panose="02040503050406030204" pitchFamily="18" charset="0"/>
                            <a:ea typeface="Cambria Math" panose="02040503050406030204" pitchFamily="18" charset="0"/>
                            <a:cs typeface="+mn-cs"/>
                          </a:rPr>
                          <m:t>𝑚</m:t>
                        </m:r>
                        <m:r>
                          <m:rPr>
                            <m:nor/>
                          </m:rPr>
                          <a:rPr kumimoji="0" lang="en-US" sz="1400" b="0" i="0" u="none" strike="noStrike" kern="0" cap="none" spc="0" normalizeH="0" baseline="-25000" noProof="0">
                            <a:ln>
                              <a:noFill/>
                            </a:ln>
                            <a:solidFill>
                              <a:schemeClr val="bg1"/>
                            </a:solidFill>
                            <a:effectLst/>
                            <a:uLnTx/>
                            <a:uFillTx/>
                            <a:latin typeface="Cambria Math" panose="02040503050406030204" pitchFamily="18" charset="0"/>
                            <a:ea typeface="Cambria Math" panose="02040503050406030204" pitchFamily="18" charset="0"/>
                            <a:cs typeface="+mn-cs"/>
                          </a:rPr>
                          <m:t>P</m:t>
                        </m:r>
                      </m:den>
                    </m:f>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2" name="TextBox 1">
              <a:extLst>
                <a:ext uri="{FF2B5EF4-FFF2-40B4-BE49-F238E27FC236}">
                  <a16:creationId xmlns:a16="http://schemas.microsoft.com/office/drawing/2014/main" id="{4EA34AAB-43F1-4914-AEBA-F4C5044D4A6F}"/>
                </a:ext>
              </a:extLst>
            </xdr:cNvPr>
            <xdr:cNvSpPr txBox="1"/>
          </xdr:nvSpPr>
          <xdr:spPr>
            <a:xfrm>
              <a:off x="7909714" y="65337892"/>
              <a:ext cx="59002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bg1"/>
                  </a:solidFill>
                  <a:latin typeface="Cambria Math" panose="02040503050406030204" pitchFamily="18" charset="0"/>
                  <a:ea typeface="Cambria Math" panose="02040503050406030204" pitchFamily="18" charset="0"/>
                </a:rPr>
                <a:t>𝑀/</a:t>
              </a:r>
              <a:r>
                <a:rPr kumimoji="0" lang="en-US" sz="1400" b="0" i="0" u="none" strike="noStrike" kern="1200" cap="none" spc="0" normalizeH="0" baseline="0" noProof="0">
                  <a:ln>
                    <a:noFill/>
                  </a:ln>
                  <a:solidFill>
                    <a:schemeClr val="bg1"/>
                  </a:solidFill>
                  <a:effectLst/>
                  <a:uLnTx/>
                  <a:uFillTx/>
                  <a:latin typeface="Cambria Math" panose="02040503050406030204" pitchFamily="18" charset="0"/>
                  <a:ea typeface="Cambria Math" panose="02040503050406030204" pitchFamily="18" charset="0"/>
                  <a:cs typeface="+mn-cs"/>
                </a:rPr>
                <a:t>𝑚</a:t>
              </a:r>
              <a:r>
                <a:rPr kumimoji="0" lang="en-US" sz="1400" b="0" i="0" u="none" strike="noStrike" kern="0" cap="none" spc="0" normalizeH="0" baseline="-25000" noProof="0">
                  <a:ln>
                    <a:noFill/>
                  </a:ln>
                  <a:solidFill>
                    <a:schemeClr val="bg1"/>
                  </a:solidFill>
                  <a:effectLst/>
                  <a:uLnTx/>
                  <a:uFillTx/>
                  <a:latin typeface="Cambria Math" panose="02040503050406030204" pitchFamily="18" charset="0"/>
                  <a:ea typeface="Cambria Math" panose="02040503050406030204" pitchFamily="18" charset="0"/>
                  <a:cs typeface="+mn-cs"/>
                </a:rPr>
                <a:t>"P" </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541071</xdr:colOff>
      <xdr:row>235</xdr:row>
      <xdr:rowOff>102357</xdr:rowOff>
    </xdr:from>
    <xdr:ext cx="750095" cy="547688"/>
    <mc:AlternateContent xmlns:mc="http://schemas.openxmlformats.org/markup-compatibility/2006">
      <mc:Choice xmlns:a14="http://schemas.microsoft.com/office/drawing/2010/main" Requires="a14">
        <xdr:sp macro="" textlink="">
          <xdr:nvSpPr>
            <xdr:cNvPr id="3" name="TextBox 2">
              <a:extLst>
                <a:ext uri="{FF2B5EF4-FFF2-40B4-BE49-F238E27FC236}">
                  <a16:creationId xmlns:a16="http://schemas.microsoft.com/office/drawing/2014/main" id="{90729D46-6F3C-4E9E-A617-FC38CA8ED3C9}"/>
                </a:ext>
              </a:extLst>
            </xdr:cNvPr>
            <xdr:cNvSpPr txBox="1"/>
          </xdr:nvSpPr>
          <xdr:spPr>
            <a:xfrm>
              <a:off x="9561246" y="65367657"/>
              <a:ext cx="750095"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US" sz="1400" b="0" i="1">
                        <a:solidFill>
                          <a:schemeClr val="bg1"/>
                        </a:solidFill>
                        <a:effectLst/>
                        <a:latin typeface="Cambria Math" panose="02040503050406030204" pitchFamily="18" charset="0"/>
                        <a:ea typeface="Cambria Math" panose="02040503050406030204" pitchFamily="18" charset="0"/>
                        <a:cs typeface="+mn-cs"/>
                      </a:rPr>
                      <m:t>2</m:t>
                    </m:r>
                    <m:f>
                      <m:fPr>
                        <m:ctrlPr>
                          <a:rPr lang="en-US" sz="1400" b="0" i="1">
                            <a:solidFill>
                              <a:schemeClr val="bg1"/>
                            </a:solidFill>
                            <a:effectLst/>
                            <a:latin typeface="Cambria Math" panose="02040503050406030204" pitchFamily="18" charset="0"/>
                            <a:ea typeface="Cambria Math" panose="02040503050406030204" pitchFamily="18" charset="0"/>
                            <a:cs typeface="+mn-cs"/>
                          </a:rPr>
                        </m:ctrlPr>
                      </m:fPr>
                      <m:num>
                        <m:sSub>
                          <m:sSubPr>
                            <m:ctrlPr>
                              <a:rPr lang="en-US" sz="1400" b="0" i="1">
                                <a:solidFill>
                                  <a:schemeClr val="bg1"/>
                                </a:solidFill>
                                <a:effectLst/>
                                <a:latin typeface="Cambria Math" panose="02040503050406030204" pitchFamily="18" charset="0"/>
                                <a:ea typeface="Cambria Math" panose="02040503050406030204" pitchFamily="18" charset="0"/>
                                <a:cs typeface="+mn-cs"/>
                              </a:rPr>
                            </m:ctrlPr>
                          </m:sSubPr>
                          <m:e>
                            <m:r>
                              <a:rPr lang="en-US" sz="1400" b="0" i="1">
                                <a:solidFill>
                                  <a:schemeClr val="bg1"/>
                                </a:solidFill>
                                <a:effectLst/>
                                <a:latin typeface="Cambria Math" panose="02040503050406030204" pitchFamily="18" charset="0"/>
                                <a:ea typeface="Cambria Math" panose="02040503050406030204" pitchFamily="18" charset="0"/>
                                <a:cs typeface="+mn-cs"/>
                              </a:rPr>
                              <m:t>𝑙</m:t>
                            </m:r>
                          </m:e>
                          <m:sub>
                            <m:r>
                              <a:rPr lang="en-US" sz="1400" b="0" i="1">
                                <a:solidFill>
                                  <a:schemeClr val="bg1"/>
                                </a:solidFill>
                                <a:effectLst/>
                                <a:latin typeface="Cambria Math" panose="02040503050406030204" pitchFamily="18" charset="0"/>
                                <a:ea typeface="Cambria Math" panose="02040503050406030204" pitchFamily="18" charset="0"/>
                                <a:cs typeface="+mn-cs"/>
                              </a:rPr>
                              <m:t>𝑃</m:t>
                            </m:r>
                          </m:sub>
                        </m:sSub>
                      </m:num>
                      <m:den>
                        <m:r>
                          <a:rPr lang="en-US" sz="1400" b="0" i="1">
                            <a:solidFill>
                              <a:schemeClr val="bg1"/>
                            </a:solidFill>
                            <a:effectLst/>
                            <a:latin typeface="Cambria Math" panose="02040503050406030204" pitchFamily="18" charset="0"/>
                            <a:ea typeface="Cambria Math" panose="02040503050406030204" pitchFamily="18" charset="0"/>
                            <a:cs typeface="+mn-cs"/>
                          </a:rPr>
                          <m:t>𝑅</m:t>
                        </m:r>
                      </m:den>
                    </m:f>
                    <m:f>
                      <m:fPr>
                        <m:ctrlPr>
                          <a:rPr lang="en-US" sz="1400" b="0" i="1">
                            <a:solidFill>
                              <a:schemeClr val="bg1"/>
                            </a:solidFill>
                            <a:effectLst/>
                            <a:latin typeface="Cambria Math" panose="02040503050406030204" pitchFamily="18" charset="0"/>
                            <a:ea typeface="Cambria Math" panose="02040503050406030204" pitchFamily="18" charset="0"/>
                            <a:cs typeface="+mn-cs"/>
                          </a:rPr>
                        </m:ctrlPr>
                      </m:fPr>
                      <m:num>
                        <m:r>
                          <a:rPr lang="en-US" sz="1400" b="0" i="1">
                            <a:solidFill>
                              <a:schemeClr val="bg1"/>
                            </a:solidFill>
                            <a:effectLst/>
                            <a:latin typeface="Cambria Math" panose="02040503050406030204" pitchFamily="18" charset="0"/>
                            <a:ea typeface="Cambria Math" panose="02040503050406030204" pitchFamily="18" charset="0"/>
                            <a:cs typeface="+mn-cs"/>
                          </a:rPr>
                          <m:t>𝑀</m:t>
                        </m:r>
                      </m:num>
                      <m:den>
                        <m:sSub>
                          <m:sSubPr>
                            <m:ctrlPr>
                              <a:rPr lang="en-US" sz="1400" b="0" i="1">
                                <a:solidFill>
                                  <a:schemeClr val="bg1"/>
                                </a:solidFill>
                                <a:effectLst/>
                                <a:latin typeface="Cambria Math" panose="02040503050406030204" pitchFamily="18" charset="0"/>
                                <a:ea typeface="Cambria Math" panose="02040503050406030204" pitchFamily="18" charset="0"/>
                                <a:cs typeface="+mn-cs"/>
                              </a:rPr>
                            </m:ctrlPr>
                          </m:sSubPr>
                          <m:e>
                            <m:r>
                              <a:rPr lang="en-US" sz="1400" b="0" i="1">
                                <a:solidFill>
                                  <a:schemeClr val="bg1"/>
                                </a:solidFill>
                                <a:effectLst/>
                                <a:latin typeface="Cambria Math" panose="02040503050406030204" pitchFamily="18" charset="0"/>
                                <a:ea typeface="Cambria Math" panose="02040503050406030204" pitchFamily="18" charset="0"/>
                                <a:cs typeface="+mn-cs"/>
                              </a:rPr>
                              <m:t>𝑚</m:t>
                            </m:r>
                          </m:e>
                          <m:sub>
                            <m:r>
                              <a:rPr lang="en-US" sz="1400" b="0" i="1">
                                <a:solidFill>
                                  <a:schemeClr val="bg1"/>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3" name="TextBox 2">
              <a:extLst>
                <a:ext uri="{FF2B5EF4-FFF2-40B4-BE49-F238E27FC236}">
                  <a16:creationId xmlns:a16="http://schemas.microsoft.com/office/drawing/2014/main" id="{90729D46-6F3C-4E9E-A617-FC38CA8ED3C9}"/>
                </a:ext>
              </a:extLst>
            </xdr:cNvPr>
            <xdr:cNvSpPr txBox="1"/>
          </xdr:nvSpPr>
          <xdr:spPr>
            <a:xfrm>
              <a:off x="9561246" y="65367657"/>
              <a:ext cx="750095"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bg1"/>
                  </a:solidFill>
                  <a:effectLst/>
                  <a:latin typeface="Cambria Math" panose="02040503050406030204" pitchFamily="18" charset="0"/>
                  <a:ea typeface="Cambria Math" panose="02040503050406030204" pitchFamily="18" charset="0"/>
                  <a:cs typeface="+mn-cs"/>
                </a:rPr>
                <a:t>2 𝑙_𝑃/𝑅  𝑀/𝑚_𝑃 </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501650</xdr:colOff>
      <xdr:row>277</xdr:row>
      <xdr:rowOff>58208</xdr:rowOff>
    </xdr:from>
    <xdr:ext cx="739774" cy="502920"/>
    <mc:AlternateContent xmlns:mc="http://schemas.openxmlformats.org/markup-compatibility/2006">
      <mc:Choice xmlns:a14="http://schemas.microsoft.com/office/drawing/2010/main" Requires="a14">
        <xdr:sp macro="" textlink="">
          <xdr:nvSpPr>
            <xdr:cNvPr id="4" name="TextBox 3">
              <a:extLst>
                <a:ext uri="{FF2B5EF4-FFF2-40B4-BE49-F238E27FC236}">
                  <a16:creationId xmlns:a16="http://schemas.microsoft.com/office/drawing/2014/main" id="{813CEE66-3DFF-4279-9809-EB7AB153781A}"/>
                </a:ext>
              </a:extLst>
            </xdr:cNvPr>
            <xdr:cNvSpPr txBox="1"/>
          </xdr:nvSpPr>
          <xdr:spPr>
            <a:xfrm>
              <a:off x="16379825" y="77706008"/>
              <a:ext cx="73977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π</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𝐹</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den>
                    </m:f>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 name="TextBox 3">
              <a:extLst>
                <a:ext uri="{FF2B5EF4-FFF2-40B4-BE49-F238E27FC236}">
                  <a16:creationId xmlns:a16="http://schemas.microsoft.com/office/drawing/2014/main" id="{813CEE66-3DFF-4279-9809-EB7AB153781A}"/>
                </a:ext>
              </a:extLst>
            </xdr:cNvPr>
            <xdr:cNvSpPr txBox="1"/>
          </xdr:nvSpPr>
          <xdr:spPr>
            <a:xfrm>
              <a:off x="16379825" y="77706008"/>
              <a:ext cx="73977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1/(4</a:t>
              </a: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π</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𝐹_𝑃 𝑐^2 ) 𝐼_𝑃^2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608545</xdr:colOff>
      <xdr:row>277</xdr:row>
      <xdr:rowOff>85988</xdr:rowOff>
    </xdr:from>
    <xdr:ext cx="550333" cy="457200"/>
    <mc:AlternateContent xmlns:mc="http://schemas.openxmlformats.org/markup-compatibility/2006">
      <mc:Choice xmlns:a14="http://schemas.microsoft.com/office/drawing/2010/main" Requires="a14">
        <xdr:sp macro="" textlink="">
          <xdr:nvSpPr>
            <xdr:cNvPr id="5" name="TextBox 4">
              <a:extLst>
                <a:ext uri="{FF2B5EF4-FFF2-40B4-BE49-F238E27FC236}">
                  <a16:creationId xmlns:a16="http://schemas.microsoft.com/office/drawing/2014/main" id="{358C8864-B81C-4241-98FE-D107AC697149}"/>
                </a:ext>
              </a:extLst>
            </xdr:cNvPr>
            <xdr:cNvSpPr txBox="1"/>
          </xdr:nvSpPr>
          <xdr:spPr>
            <a:xfrm>
              <a:off x="7914220" y="77733788"/>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𝜇</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 name="TextBox 4">
              <a:extLst>
                <a:ext uri="{FF2B5EF4-FFF2-40B4-BE49-F238E27FC236}">
                  <a16:creationId xmlns:a16="http://schemas.microsoft.com/office/drawing/2014/main" id="{358C8864-B81C-4241-98FE-D107AC697149}"/>
                </a:ext>
              </a:extLst>
            </xdr:cNvPr>
            <xdr:cNvSpPr txBox="1"/>
          </xdr:nvSpPr>
          <xdr:spPr>
            <a:xfrm>
              <a:off x="7914220" y="77733788"/>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1/(𝜇_0 𝑐^2 )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502711</xdr:colOff>
      <xdr:row>276</xdr:row>
      <xdr:rowOff>84665</xdr:rowOff>
    </xdr:from>
    <xdr:ext cx="762000" cy="457200"/>
    <mc:AlternateContent xmlns:mc="http://schemas.openxmlformats.org/markup-compatibility/2006">
      <mc:Choice xmlns:a14="http://schemas.microsoft.com/office/drawing/2010/main" Requires="a14">
        <xdr:sp macro="" textlink="">
          <xdr:nvSpPr>
            <xdr:cNvPr id="6" name="TextBox 5">
              <a:extLst>
                <a:ext uri="{FF2B5EF4-FFF2-40B4-BE49-F238E27FC236}">
                  <a16:creationId xmlns:a16="http://schemas.microsoft.com/office/drawing/2014/main" id="{F8FDC5D1-3BB1-4C7B-9CB7-EC09C46715CF}"/>
                </a:ext>
              </a:extLst>
            </xdr:cNvPr>
            <xdr:cNvSpPr txBox="1"/>
          </xdr:nvSpPr>
          <xdr:spPr>
            <a:xfrm>
              <a:off x="7808386" y="77103815"/>
              <a:ext cx="76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𝜋𝛼</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num>
                      <m:den>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6" name="TextBox 5">
              <a:extLst>
                <a:ext uri="{FF2B5EF4-FFF2-40B4-BE49-F238E27FC236}">
                  <a16:creationId xmlns:a16="http://schemas.microsoft.com/office/drawing/2014/main" id="{F8FDC5D1-3BB1-4C7B-9CB7-EC09C46715CF}"/>
                </a:ext>
              </a:extLst>
            </xdr:cNvPr>
            <xdr:cNvSpPr txBox="1"/>
          </xdr:nvSpPr>
          <xdr:spPr>
            <a:xfrm>
              <a:off x="7808386" y="77103815"/>
              <a:ext cx="76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4𝜋𝛼ℏ/(𝑒^2 𝑐)</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439208</xdr:colOff>
      <xdr:row>276</xdr:row>
      <xdr:rowOff>25917</xdr:rowOff>
    </xdr:from>
    <xdr:ext cx="889001" cy="502920"/>
    <mc:AlternateContent xmlns:mc="http://schemas.openxmlformats.org/markup-compatibility/2006">
      <mc:Choice xmlns:a14="http://schemas.microsoft.com/office/drawing/2010/main" Requires="a14">
        <xdr:sp macro="" textlink="">
          <xdr:nvSpPr>
            <xdr:cNvPr id="7" name="TextBox 6">
              <a:extLst>
                <a:ext uri="{FF2B5EF4-FFF2-40B4-BE49-F238E27FC236}">
                  <a16:creationId xmlns:a16="http://schemas.microsoft.com/office/drawing/2014/main" id="{59ED5FF5-6E43-41CF-A664-EF60B7A39A93}"/>
                </a:ext>
              </a:extLst>
            </xdr:cNvPr>
            <xdr:cNvSpPr txBox="1"/>
          </xdr:nvSpPr>
          <xdr:spPr>
            <a:xfrm>
              <a:off x="9459383" y="77045067"/>
              <a:ext cx="889001"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4</m:t>
                    </m:r>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π</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𝐹</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 name="TextBox 6">
              <a:extLst>
                <a:ext uri="{FF2B5EF4-FFF2-40B4-BE49-F238E27FC236}">
                  <a16:creationId xmlns:a16="http://schemas.microsoft.com/office/drawing/2014/main" id="{59ED5FF5-6E43-41CF-A664-EF60B7A39A93}"/>
                </a:ext>
              </a:extLst>
            </xdr:cNvPr>
            <xdr:cNvSpPr txBox="1"/>
          </xdr:nvSpPr>
          <xdr:spPr>
            <a:xfrm>
              <a:off x="9459383" y="77045067"/>
              <a:ext cx="889001"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4</a:t>
              </a: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π</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𝐹_𝑃 (𝑡_𝑃/𝑞_𝑃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552053</xdr:colOff>
      <xdr:row>276</xdr:row>
      <xdr:rowOff>52916</xdr:rowOff>
    </xdr:from>
    <xdr:ext cx="638969" cy="502920"/>
    <mc:AlternateContent xmlns:mc="http://schemas.openxmlformats.org/markup-compatibility/2006">
      <mc:Choice xmlns:a14="http://schemas.microsoft.com/office/drawing/2010/main" Requires="a14">
        <xdr:sp macro="" textlink="">
          <xdr:nvSpPr>
            <xdr:cNvPr id="8" name="TextBox 7">
              <a:extLst>
                <a:ext uri="{FF2B5EF4-FFF2-40B4-BE49-F238E27FC236}">
                  <a16:creationId xmlns:a16="http://schemas.microsoft.com/office/drawing/2014/main" id="{D5F00687-CB72-4646-9164-436F3005E2E3}"/>
                </a:ext>
              </a:extLst>
            </xdr:cNvPr>
            <xdr:cNvSpPr txBox="1"/>
          </xdr:nvSpPr>
          <xdr:spPr>
            <a:xfrm>
              <a:off x="16430228" y="77072066"/>
              <a:ext cx="638969"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4</m:t>
                    </m:r>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π</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𝐹</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8" name="TextBox 7">
              <a:extLst>
                <a:ext uri="{FF2B5EF4-FFF2-40B4-BE49-F238E27FC236}">
                  <a16:creationId xmlns:a16="http://schemas.microsoft.com/office/drawing/2014/main" id="{D5F00687-CB72-4646-9164-436F3005E2E3}"/>
                </a:ext>
              </a:extLst>
            </xdr:cNvPr>
            <xdr:cNvSpPr txBox="1"/>
          </xdr:nvSpPr>
          <xdr:spPr>
            <a:xfrm>
              <a:off x="16430228" y="77072066"/>
              <a:ext cx="638969"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4</a:t>
              </a: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π</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𝐹_𝑃  1/(𝐼_𝑃^2 )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530972</xdr:colOff>
      <xdr:row>276</xdr:row>
      <xdr:rowOff>56883</xdr:rowOff>
    </xdr:from>
    <xdr:ext cx="595312" cy="502920"/>
    <mc:AlternateContent xmlns:mc="http://schemas.openxmlformats.org/markup-compatibility/2006">
      <mc:Choice xmlns:a14="http://schemas.microsoft.com/office/drawing/2010/main" Requires="a14">
        <xdr:sp macro="" textlink="">
          <xdr:nvSpPr>
            <xdr:cNvPr id="9" name="TextBox 8">
              <a:extLst>
                <a:ext uri="{FF2B5EF4-FFF2-40B4-BE49-F238E27FC236}">
                  <a16:creationId xmlns:a16="http://schemas.microsoft.com/office/drawing/2014/main" id="{CB5E9F45-F971-4DA2-9A21-D0CB643EF45A}"/>
                </a:ext>
              </a:extLst>
            </xdr:cNvPr>
            <xdr:cNvSpPr txBox="1"/>
          </xdr:nvSpPr>
          <xdr:spPr>
            <a:xfrm>
              <a:off x="12980147" y="77076033"/>
              <a:ext cx="595312"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9" name="TextBox 8">
              <a:extLst>
                <a:ext uri="{FF2B5EF4-FFF2-40B4-BE49-F238E27FC236}">
                  <a16:creationId xmlns:a16="http://schemas.microsoft.com/office/drawing/2014/main" id="{CB5E9F45-F971-4DA2-9A21-D0CB643EF45A}"/>
                </a:ext>
              </a:extLst>
            </xdr:cNvPr>
            <xdr:cNvSpPr txBox="1"/>
          </xdr:nvSpPr>
          <xdr:spPr>
            <a:xfrm>
              <a:off x="12980147" y="77076033"/>
              <a:ext cx="595312"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4𝜋 (𝑙_𝑃 𝑚_𝑃)/(𝑞_𝑃^2 )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576526</xdr:colOff>
      <xdr:row>278</xdr:row>
      <xdr:rowOff>63500</xdr:rowOff>
    </xdr:from>
    <xdr:ext cx="590022" cy="502920"/>
    <mc:AlternateContent xmlns:mc="http://schemas.openxmlformats.org/markup-compatibility/2006">
      <mc:Choice xmlns:a14="http://schemas.microsoft.com/office/drawing/2010/main" Requires="a14">
        <xdr:sp macro="" textlink="">
          <xdr:nvSpPr>
            <xdr:cNvPr id="10" name="TextBox 9">
              <a:extLst>
                <a:ext uri="{FF2B5EF4-FFF2-40B4-BE49-F238E27FC236}">
                  <a16:creationId xmlns:a16="http://schemas.microsoft.com/office/drawing/2014/main" id="{386A5A97-EC2F-445B-9A02-A018BA75C594}"/>
                </a:ext>
              </a:extLst>
            </xdr:cNvPr>
            <xdr:cNvSpPr txBox="1"/>
          </xdr:nvSpPr>
          <xdr:spPr>
            <a:xfrm>
              <a:off x="16454701" y="78339950"/>
              <a:ext cx="590022" cy="502920"/>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𝐹</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0" name="TextBox 9">
              <a:extLst>
                <a:ext uri="{FF2B5EF4-FFF2-40B4-BE49-F238E27FC236}">
                  <a16:creationId xmlns:a16="http://schemas.microsoft.com/office/drawing/2014/main" id="{386A5A97-EC2F-445B-9A02-A018BA75C594}"/>
                </a:ext>
              </a:extLst>
            </xdr:cNvPr>
            <xdr:cNvSpPr txBox="1"/>
          </xdr:nvSpPr>
          <xdr:spPr>
            <a:xfrm>
              <a:off x="16454701" y="78339950"/>
              <a:ext cx="590022" cy="502920"/>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𝐹_𝑃 𝑐^2  1/(𝐼_𝑃^2 )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466989</xdr:colOff>
      <xdr:row>280</xdr:row>
      <xdr:rowOff>45768</xdr:rowOff>
    </xdr:from>
    <xdr:ext cx="833438" cy="502920"/>
    <mc:AlternateContent xmlns:mc="http://schemas.openxmlformats.org/markup-compatibility/2006">
      <mc:Choice xmlns:a14="http://schemas.microsoft.com/office/drawing/2010/main" Requires="a14">
        <xdr:sp macro="" textlink="">
          <xdr:nvSpPr>
            <xdr:cNvPr id="11" name="TextBox 10">
              <a:extLst>
                <a:ext uri="{FF2B5EF4-FFF2-40B4-BE49-F238E27FC236}">
                  <a16:creationId xmlns:a16="http://schemas.microsoft.com/office/drawing/2014/main" id="{5D069EB9-CEC3-4C41-9411-459AE3E3A740}"/>
                </a:ext>
              </a:extLst>
            </xdr:cNvPr>
            <xdr:cNvSpPr txBox="1"/>
          </xdr:nvSpPr>
          <xdr:spPr>
            <a:xfrm>
              <a:off x="9487164" y="79579518"/>
              <a:ext cx="83343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ad>
                          <m:radPr>
                            <m:degHide m:val="on"/>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radPr>
                          <m:deg/>
                          <m:e>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e>
                        </m:rad>
                      </m:num>
                      <m:den>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1" name="TextBox 10">
              <a:extLst>
                <a:ext uri="{FF2B5EF4-FFF2-40B4-BE49-F238E27FC236}">
                  <a16:creationId xmlns:a16="http://schemas.microsoft.com/office/drawing/2014/main" id="{5D069EB9-CEC3-4C41-9411-459AE3E3A740}"/>
                </a:ext>
              </a:extLst>
            </xdr:cNvPr>
            <xdr:cNvSpPr txBox="1"/>
          </xdr:nvSpPr>
          <xdr:spPr>
            <a:xfrm>
              <a:off x="9487164" y="79579518"/>
              <a:ext cx="83343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1/𝐸_𝑃  (𝑞_𝑃/𝑡_𝑃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371740</xdr:colOff>
      <xdr:row>281</xdr:row>
      <xdr:rowOff>50731</xdr:rowOff>
    </xdr:from>
    <xdr:ext cx="1023936" cy="502920"/>
    <mc:AlternateContent xmlns:mc="http://schemas.openxmlformats.org/markup-compatibility/2006">
      <mc:Choice xmlns:a14="http://schemas.microsoft.com/office/drawing/2010/main" Requires="a14">
        <xdr:sp macro="" textlink="">
          <xdr:nvSpPr>
            <xdr:cNvPr id="12" name="TextBox 11">
              <a:extLst>
                <a:ext uri="{FF2B5EF4-FFF2-40B4-BE49-F238E27FC236}">
                  <a16:creationId xmlns:a16="http://schemas.microsoft.com/office/drawing/2014/main" id="{2FD6C5ED-9E81-4A68-9339-E288D0CFAB6D}"/>
                </a:ext>
              </a:extLst>
            </xdr:cNvPr>
            <xdr:cNvSpPr txBox="1"/>
          </xdr:nvSpPr>
          <xdr:spPr>
            <a:xfrm>
              <a:off x="9391915" y="80213131"/>
              <a:ext cx="102393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ad>
                          <m:radPr>
                            <m:degHide m:val="on"/>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radPr>
                          <m:deg/>
                          <m:e>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e>
                        </m:rad>
                      </m:num>
                      <m:den>
                        <m:r>
                          <a:rPr lang="en-US" sz="1200" b="0" i="1">
                            <a:solidFill>
                              <a:schemeClr val="tx1">
                                <a:lumMod val="75000"/>
                                <a:lumOff val="25000"/>
                              </a:schemeClr>
                            </a:solidFill>
                            <a:latin typeface="Cambria Math" panose="02040503050406030204" pitchFamily="18" charset="0"/>
                            <a:ea typeface="Cambria Math" panose="02040503050406030204" pitchFamily="18" charset="0"/>
                          </a:rPr>
                          <m:t>2</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sub>
                        </m:sSub>
                      </m:den>
                    </m:f>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 name="TextBox 11">
              <a:extLst>
                <a:ext uri="{FF2B5EF4-FFF2-40B4-BE49-F238E27FC236}">
                  <a16:creationId xmlns:a16="http://schemas.microsoft.com/office/drawing/2014/main" id="{2FD6C5ED-9E81-4A68-9339-E288D0CFAB6D}"/>
                </a:ext>
              </a:extLst>
            </xdr:cNvPr>
            <xdr:cNvSpPr txBox="1"/>
          </xdr:nvSpPr>
          <xdr:spPr>
            <a:xfrm>
              <a:off x="9391915" y="80213131"/>
              <a:ext cx="102393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/2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𝑚_𝑃/𝑚_𝑒  𝑙_𝑃^2 (𝑞_𝑃/𝑡_𝑃 )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434842</xdr:colOff>
      <xdr:row>282</xdr:row>
      <xdr:rowOff>55694</xdr:rowOff>
    </xdr:from>
    <xdr:ext cx="897733" cy="502920"/>
    <mc:AlternateContent xmlns:mc="http://schemas.openxmlformats.org/markup-compatibility/2006">
      <mc:Choice xmlns:a14="http://schemas.microsoft.com/office/drawing/2010/main" Requires="a14">
        <xdr:sp macro="" textlink="">
          <xdr:nvSpPr>
            <xdr:cNvPr id="13" name="TextBox 12">
              <a:extLst>
                <a:ext uri="{FF2B5EF4-FFF2-40B4-BE49-F238E27FC236}">
                  <a16:creationId xmlns:a16="http://schemas.microsoft.com/office/drawing/2014/main" id="{4850B9AE-870A-4413-AB09-51E5DC409EEF}"/>
                </a:ext>
              </a:extLst>
            </xdr:cNvPr>
            <xdr:cNvSpPr txBox="1"/>
          </xdr:nvSpPr>
          <xdr:spPr>
            <a:xfrm>
              <a:off x="9455017" y="80846744"/>
              <a:ext cx="89773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num>
                      <m:den>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3" name="TextBox 12">
              <a:extLst>
                <a:ext uri="{FF2B5EF4-FFF2-40B4-BE49-F238E27FC236}">
                  <a16:creationId xmlns:a16="http://schemas.microsoft.com/office/drawing/2014/main" id="{4850B9AE-870A-4413-AB09-51E5DC409EEF}"/>
                </a:ext>
              </a:extLst>
            </xdr:cNvPr>
            <xdr:cNvSpPr txBox="1"/>
          </xdr:nvSpPr>
          <xdr:spPr>
            <a:xfrm>
              <a:off x="9455017" y="80846744"/>
              <a:ext cx="89773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𝑡_𝑃/𝐸_𝑃  (𝑞_𝑃/𝑡_𝑃 )^2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369985</xdr:colOff>
      <xdr:row>277</xdr:row>
      <xdr:rowOff>60455</xdr:rowOff>
    </xdr:from>
    <xdr:ext cx="917286" cy="502920"/>
    <mc:AlternateContent xmlns:mc="http://schemas.openxmlformats.org/markup-compatibility/2006">
      <mc:Choice xmlns:a14="http://schemas.microsoft.com/office/drawing/2010/main" Requires="a14">
        <xdr:sp macro="" textlink="">
          <xdr:nvSpPr>
            <xdr:cNvPr id="14" name="TextBox 13">
              <a:extLst>
                <a:ext uri="{FF2B5EF4-FFF2-40B4-BE49-F238E27FC236}">
                  <a16:creationId xmlns:a16="http://schemas.microsoft.com/office/drawing/2014/main" id="{D4D07268-8067-4674-A29E-5C20C08862A1}"/>
                </a:ext>
              </a:extLst>
            </xdr:cNvPr>
            <xdr:cNvSpPr txBox="1"/>
          </xdr:nvSpPr>
          <xdr:spPr>
            <a:xfrm>
              <a:off x="12819160" y="77708255"/>
              <a:ext cx="91728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π</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𝐹</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den>
                    </m:f>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 name="TextBox 13">
              <a:extLst>
                <a:ext uri="{FF2B5EF4-FFF2-40B4-BE49-F238E27FC236}">
                  <a16:creationId xmlns:a16="http://schemas.microsoft.com/office/drawing/2014/main" id="{D4D07268-8067-4674-A29E-5C20C08862A1}"/>
                </a:ext>
              </a:extLst>
            </xdr:cNvPr>
            <xdr:cNvSpPr txBox="1"/>
          </xdr:nvSpPr>
          <xdr:spPr>
            <a:xfrm>
              <a:off x="12819160" y="77708255"/>
              <a:ext cx="91728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1/(4</a:t>
              </a: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π</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𝐹_𝑃 𝑐^2 ) (𝑞_𝑃/𝑡_𝑃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472402</xdr:colOff>
      <xdr:row>277</xdr:row>
      <xdr:rowOff>30880</xdr:rowOff>
    </xdr:from>
    <xdr:ext cx="822613" cy="502920"/>
    <mc:AlternateContent xmlns:mc="http://schemas.openxmlformats.org/markup-compatibility/2006">
      <mc:Choice xmlns:a14="http://schemas.microsoft.com/office/drawing/2010/main" Requires="a14">
        <xdr:sp macro="" textlink="">
          <xdr:nvSpPr>
            <xdr:cNvPr id="15" name="TextBox 14">
              <a:extLst>
                <a:ext uri="{FF2B5EF4-FFF2-40B4-BE49-F238E27FC236}">
                  <a16:creationId xmlns:a16="http://schemas.microsoft.com/office/drawing/2014/main" id="{A61EB39D-2BD3-4844-B782-C5BE81335C97}"/>
                </a:ext>
              </a:extLst>
            </xdr:cNvPr>
            <xdr:cNvSpPr txBox="1"/>
          </xdr:nvSpPr>
          <xdr:spPr>
            <a:xfrm>
              <a:off x="9492577" y="77678680"/>
              <a:ext cx="82261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π</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𝐹</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 name="TextBox 14">
              <a:extLst>
                <a:ext uri="{FF2B5EF4-FFF2-40B4-BE49-F238E27FC236}">
                  <a16:creationId xmlns:a16="http://schemas.microsoft.com/office/drawing/2014/main" id="{A61EB39D-2BD3-4844-B782-C5BE81335C97}"/>
                </a:ext>
              </a:extLst>
            </xdr:cNvPr>
            <xdr:cNvSpPr txBox="1"/>
          </xdr:nvSpPr>
          <xdr:spPr>
            <a:xfrm>
              <a:off x="9492577" y="77678680"/>
              <a:ext cx="82261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1/(4</a:t>
              </a: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π</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𝐹_𝑃 ) (𝑞_𝑃/𝑙_𝑃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447483</xdr:colOff>
      <xdr:row>278</xdr:row>
      <xdr:rowOff>64028</xdr:rowOff>
    </xdr:from>
    <xdr:ext cx="762290" cy="502920"/>
    <mc:AlternateContent xmlns:mc="http://schemas.openxmlformats.org/markup-compatibility/2006">
      <mc:Choice xmlns:a14="http://schemas.microsoft.com/office/drawing/2010/main" Requires="a14">
        <xdr:sp macro="" textlink="">
          <xdr:nvSpPr>
            <xdr:cNvPr id="16" name="TextBox 15">
              <a:extLst>
                <a:ext uri="{FF2B5EF4-FFF2-40B4-BE49-F238E27FC236}">
                  <a16:creationId xmlns:a16="http://schemas.microsoft.com/office/drawing/2014/main" id="{BBD71D8C-58CD-49F2-BF79-9B7AEA1E5094}"/>
                </a:ext>
              </a:extLst>
            </xdr:cNvPr>
            <xdr:cNvSpPr txBox="1"/>
          </xdr:nvSpPr>
          <xdr:spPr>
            <a:xfrm>
              <a:off x="12896658" y="78340478"/>
              <a:ext cx="76229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𝐹</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6" name="TextBox 15">
              <a:extLst>
                <a:ext uri="{FF2B5EF4-FFF2-40B4-BE49-F238E27FC236}">
                  <a16:creationId xmlns:a16="http://schemas.microsoft.com/office/drawing/2014/main" id="{BBD71D8C-58CD-49F2-BF79-9B7AEA1E5094}"/>
                </a:ext>
              </a:extLst>
            </xdr:cNvPr>
            <xdr:cNvSpPr txBox="1"/>
          </xdr:nvSpPr>
          <xdr:spPr>
            <a:xfrm>
              <a:off x="12896658" y="78340478"/>
              <a:ext cx="76229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𝐹_𝑃 𝑐^2 (𝑡_𝑃/𝑞_𝑃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502708</xdr:colOff>
      <xdr:row>278</xdr:row>
      <xdr:rowOff>35843</xdr:rowOff>
    </xdr:from>
    <xdr:ext cx="762000" cy="502920"/>
    <mc:AlternateContent xmlns:mc="http://schemas.openxmlformats.org/markup-compatibility/2006">
      <mc:Choice xmlns:a14="http://schemas.microsoft.com/office/drawing/2010/main" Requires="a14">
        <xdr:sp macro="" textlink="">
          <xdr:nvSpPr>
            <xdr:cNvPr id="17" name="TextBox 16">
              <a:extLst>
                <a:ext uri="{FF2B5EF4-FFF2-40B4-BE49-F238E27FC236}">
                  <a16:creationId xmlns:a16="http://schemas.microsoft.com/office/drawing/2014/main" id="{A809738C-EDF8-45ED-97AB-6A293AB21E99}"/>
                </a:ext>
              </a:extLst>
            </xdr:cNvPr>
            <xdr:cNvSpPr txBox="1"/>
          </xdr:nvSpPr>
          <xdr:spPr>
            <a:xfrm>
              <a:off x="9522883" y="78312293"/>
              <a:ext cx="7620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𝐹</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7" name="TextBox 16">
              <a:extLst>
                <a:ext uri="{FF2B5EF4-FFF2-40B4-BE49-F238E27FC236}">
                  <a16:creationId xmlns:a16="http://schemas.microsoft.com/office/drawing/2014/main" id="{A809738C-EDF8-45ED-97AB-6A293AB21E99}"/>
                </a:ext>
              </a:extLst>
            </xdr:cNvPr>
            <xdr:cNvSpPr txBox="1"/>
          </xdr:nvSpPr>
          <xdr:spPr>
            <a:xfrm>
              <a:off x="9522883" y="78312293"/>
              <a:ext cx="7620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𝐹_𝑃 (𝑙_𝑃/𝑞_𝑃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411788</xdr:colOff>
      <xdr:row>279</xdr:row>
      <xdr:rowOff>40805</xdr:rowOff>
    </xdr:from>
    <xdr:ext cx="943841" cy="502920"/>
    <mc:AlternateContent xmlns:mc="http://schemas.openxmlformats.org/markup-compatibility/2006">
      <mc:Choice xmlns:a14="http://schemas.microsoft.com/office/drawing/2010/main" Requires="a14">
        <xdr:sp macro="" textlink="">
          <xdr:nvSpPr>
            <xdr:cNvPr id="18" name="TextBox 17">
              <a:extLst>
                <a:ext uri="{FF2B5EF4-FFF2-40B4-BE49-F238E27FC236}">
                  <a16:creationId xmlns:a16="http://schemas.microsoft.com/office/drawing/2014/main" id="{2253946C-4AE0-48E4-8322-B425F8FBE9EE}"/>
                </a:ext>
              </a:extLst>
            </xdr:cNvPr>
            <xdr:cNvSpPr txBox="1"/>
          </xdr:nvSpPr>
          <xdr:spPr>
            <a:xfrm>
              <a:off x="9431963" y="78945905"/>
              <a:ext cx="943841"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200" b="0" i="1">
                            <a:solidFill>
                              <a:schemeClr val="tx1">
                                <a:lumMod val="75000"/>
                                <a:lumOff val="25000"/>
                              </a:schemeClr>
                            </a:solidFill>
                            <a:latin typeface="Cambria Math" panose="02040503050406030204" pitchFamily="18" charset="0"/>
                            <a:ea typeface="Cambria Math" panose="02040503050406030204" pitchFamily="18" charset="0"/>
                          </a:rPr>
                          <m:t>2</m:t>
                        </m:r>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num>
                      <m:den>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8" name="TextBox 17">
              <a:extLst>
                <a:ext uri="{FF2B5EF4-FFF2-40B4-BE49-F238E27FC236}">
                  <a16:creationId xmlns:a16="http://schemas.microsoft.com/office/drawing/2014/main" id="{2253946C-4AE0-48E4-8322-B425F8FBE9EE}"/>
                </a:ext>
              </a:extLst>
            </xdr:cNvPr>
            <xdr:cNvSpPr txBox="1"/>
          </xdr:nvSpPr>
          <xdr:spPr>
            <a:xfrm>
              <a:off x="9431963" y="78945905"/>
              <a:ext cx="943841"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2</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𝐸_𝑃/𝑡_𝑃  (𝑡_𝑃/𝑞_𝑃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380230</xdr:colOff>
      <xdr:row>279</xdr:row>
      <xdr:rowOff>67637</xdr:rowOff>
    </xdr:from>
    <xdr:ext cx="966788" cy="502920"/>
    <mc:AlternateContent xmlns:mc="http://schemas.openxmlformats.org/markup-compatibility/2006">
      <mc:Choice xmlns:a14="http://schemas.microsoft.com/office/drawing/2010/main" Requires="a14">
        <xdr:sp macro="" textlink="">
          <xdr:nvSpPr>
            <xdr:cNvPr id="19" name="TextBox 18">
              <a:extLst>
                <a:ext uri="{FF2B5EF4-FFF2-40B4-BE49-F238E27FC236}">
                  <a16:creationId xmlns:a16="http://schemas.microsoft.com/office/drawing/2014/main" id="{F60373D8-C80B-4016-969D-380BF53A63B5}"/>
                </a:ext>
              </a:extLst>
            </xdr:cNvPr>
            <xdr:cNvSpPr txBox="1"/>
          </xdr:nvSpPr>
          <xdr:spPr>
            <a:xfrm>
              <a:off x="12829405" y="78972737"/>
              <a:ext cx="96678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200" b="0" i="1">
                            <a:solidFill>
                              <a:schemeClr val="tx1">
                                <a:lumMod val="75000"/>
                                <a:lumOff val="25000"/>
                              </a:schemeClr>
                            </a:solidFill>
                            <a:latin typeface="Cambria Math" panose="02040503050406030204" pitchFamily="18" charset="0"/>
                            <a:ea typeface="Cambria Math" panose="02040503050406030204" pitchFamily="18" charset="0"/>
                          </a:rPr>
                          <m:t>2</m:t>
                        </m:r>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num>
                      <m:den>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9" name="TextBox 18">
              <a:extLst>
                <a:ext uri="{FF2B5EF4-FFF2-40B4-BE49-F238E27FC236}">
                  <a16:creationId xmlns:a16="http://schemas.microsoft.com/office/drawing/2014/main" id="{F60373D8-C80B-4016-969D-380BF53A63B5}"/>
                </a:ext>
              </a:extLst>
            </xdr:cNvPr>
            <xdr:cNvSpPr txBox="1"/>
          </xdr:nvSpPr>
          <xdr:spPr>
            <a:xfrm>
              <a:off x="12829405" y="78972737"/>
              <a:ext cx="96678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2</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𝑚_𝑃/𝑡_𝑃   (𝑙_𝑃/𝑞_𝑃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460772</xdr:colOff>
      <xdr:row>283</xdr:row>
      <xdr:rowOff>89958</xdr:rowOff>
    </xdr:from>
    <xdr:ext cx="821531" cy="502920"/>
    <mc:AlternateContent xmlns:mc="http://schemas.openxmlformats.org/markup-compatibility/2006">
      <mc:Choice xmlns:a14="http://schemas.microsoft.com/office/drawing/2010/main" Requires="a14">
        <xdr:sp macro="" textlink="">
          <xdr:nvSpPr>
            <xdr:cNvPr id="20" name="TextBox 19">
              <a:extLst>
                <a:ext uri="{FF2B5EF4-FFF2-40B4-BE49-F238E27FC236}">
                  <a16:creationId xmlns:a16="http://schemas.microsoft.com/office/drawing/2014/main" id="{93E1BC48-769A-4AD6-9933-9AD260405ECD}"/>
                </a:ext>
              </a:extLst>
            </xdr:cNvPr>
            <xdr:cNvSpPr txBox="1"/>
          </xdr:nvSpPr>
          <xdr:spPr>
            <a:xfrm>
              <a:off x="16338947" y="81509658"/>
              <a:ext cx="821531"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π</m:t>
                        </m:r>
                      </m:num>
                      <m:den>
                        <m:rad>
                          <m:radPr>
                            <m:degHide m:val="on"/>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radPr>
                          <m:deg/>
                          <m:e>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α</m:t>
                            </m:r>
                          </m:e>
                        </m:rad>
                      </m:den>
                    </m:f>
                    <m:sSub>
                      <m:sSubPr>
                        <m:ctrl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0" name="TextBox 19">
              <a:extLst>
                <a:ext uri="{FF2B5EF4-FFF2-40B4-BE49-F238E27FC236}">
                  <a16:creationId xmlns:a16="http://schemas.microsoft.com/office/drawing/2014/main" id="{93E1BC48-769A-4AD6-9933-9AD260405ECD}"/>
                </a:ext>
              </a:extLst>
            </xdr:cNvPr>
            <xdr:cNvSpPr txBox="1"/>
          </xdr:nvSpPr>
          <xdr:spPr>
            <a:xfrm>
              <a:off x="16338947" y="81509658"/>
              <a:ext cx="821531"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π</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a:t>
              </a: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α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𝐸</a:t>
              </a: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_</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𝑃  1/𝐼_𝑃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453893</xdr:colOff>
      <xdr:row>283</xdr:row>
      <xdr:rowOff>60656</xdr:rowOff>
    </xdr:from>
    <xdr:ext cx="859630" cy="502920"/>
    <mc:AlternateContent xmlns:mc="http://schemas.openxmlformats.org/markup-compatibility/2006">
      <mc:Choice xmlns:a14="http://schemas.microsoft.com/office/drawing/2010/main" Requires="a14">
        <xdr:sp macro="" textlink="">
          <xdr:nvSpPr>
            <xdr:cNvPr id="21" name="TextBox 20">
              <a:extLst>
                <a:ext uri="{FF2B5EF4-FFF2-40B4-BE49-F238E27FC236}">
                  <a16:creationId xmlns:a16="http://schemas.microsoft.com/office/drawing/2014/main" id="{473DD55B-98F5-49D9-A66B-C929AD1C51E3}"/>
                </a:ext>
              </a:extLst>
            </xdr:cNvPr>
            <xdr:cNvSpPr txBox="1"/>
          </xdr:nvSpPr>
          <xdr:spPr>
            <a:xfrm>
              <a:off x="9474068" y="81480356"/>
              <a:ext cx="85963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π</m:t>
                        </m:r>
                      </m:num>
                      <m:den>
                        <m:rad>
                          <m:radPr>
                            <m:degHide m:val="on"/>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radPr>
                          <m:deg/>
                          <m:e>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α</m:t>
                            </m:r>
                          </m:e>
                        </m:rad>
                      </m:den>
                    </m:f>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1" name="TextBox 20">
              <a:extLst>
                <a:ext uri="{FF2B5EF4-FFF2-40B4-BE49-F238E27FC236}">
                  <a16:creationId xmlns:a16="http://schemas.microsoft.com/office/drawing/2014/main" id="{473DD55B-98F5-49D9-A66B-C929AD1C51E3}"/>
                </a:ext>
              </a:extLst>
            </xdr:cNvPr>
            <xdr:cNvSpPr txBox="1"/>
          </xdr:nvSpPr>
          <xdr:spPr>
            <a:xfrm>
              <a:off x="9474068" y="81480356"/>
              <a:ext cx="85963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π</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a:t>
              </a: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α</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 (𝑡_𝑃/𝑞_𝑃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423333</xdr:colOff>
      <xdr:row>284</xdr:row>
      <xdr:rowOff>65616</xdr:rowOff>
    </xdr:from>
    <xdr:ext cx="920751" cy="502920"/>
    <mc:AlternateContent xmlns:mc="http://schemas.openxmlformats.org/markup-compatibility/2006">
      <mc:Choice xmlns:a14="http://schemas.microsoft.com/office/drawing/2010/main" Requires="a14">
        <xdr:sp macro="" textlink="">
          <xdr:nvSpPr>
            <xdr:cNvPr id="22" name="TextBox 21">
              <a:extLst>
                <a:ext uri="{FF2B5EF4-FFF2-40B4-BE49-F238E27FC236}">
                  <a16:creationId xmlns:a16="http://schemas.microsoft.com/office/drawing/2014/main" id="{4A8E3185-C2AB-487F-87BA-41F068807C87}"/>
                </a:ext>
              </a:extLst>
            </xdr:cNvPr>
            <xdr:cNvSpPr txBox="1"/>
          </xdr:nvSpPr>
          <xdr:spPr>
            <a:xfrm>
              <a:off x="9443508" y="82113966"/>
              <a:ext cx="920751"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4</m:t>
                    </m:r>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2" name="TextBox 21">
              <a:extLst>
                <a:ext uri="{FF2B5EF4-FFF2-40B4-BE49-F238E27FC236}">
                  <a16:creationId xmlns:a16="http://schemas.microsoft.com/office/drawing/2014/main" id="{4A8E3185-C2AB-487F-87BA-41F068807C87}"/>
                </a:ext>
              </a:extLst>
            </xdr:cNvPr>
            <xdr:cNvSpPr txBox="1"/>
          </xdr:nvSpPr>
          <xdr:spPr>
            <a:xfrm>
              <a:off x="9443508" y="82113966"/>
              <a:ext cx="920751"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4</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𝐸_𝑃/𝑡_𝑃  (𝑡_𝑃/𝑞_𝑃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357187</xdr:colOff>
      <xdr:row>284</xdr:row>
      <xdr:rowOff>95250</xdr:rowOff>
    </xdr:from>
    <xdr:ext cx="1028700" cy="502920"/>
    <mc:AlternateContent xmlns:mc="http://schemas.openxmlformats.org/markup-compatibility/2006">
      <mc:Choice xmlns:a14="http://schemas.microsoft.com/office/drawing/2010/main" Requires="a14">
        <xdr:sp macro="" textlink="">
          <xdr:nvSpPr>
            <xdr:cNvPr id="23" name="TextBox 22">
              <a:extLst>
                <a:ext uri="{FF2B5EF4-FFF2-40B4-BE49-F238E27FC236}">
                  <a16:creationId xmlns:a16="http://schemas.microsoft.com/office/drawing/2014/main" id="{1ED973FA-DB6F-4347-88F9-A9B99574F014}"/>
                </a:ext>
              </a:extLst>
            </xdr:cNvPr>
            <xdr:cNvSpPr txBox="1"/>
          </xdr:nvSpPr>
          <xdr:spPr>
            <a:xfrm>
              <a:off x="16235362" y="82143600"/>
              <a:ext cx="10287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4</m:t>
                    </m:r>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3" name="TextBox 22">
              <a:extLst>
                <a:ext uri="{FF2B5EF4-FFF2-40B4-BE49-F238E27FC236}">
                  <a16:creationId xmlns:a16="http://schemas.microsoft.com/office/drawing/2014/main" id="{1ED973FA-DB6F-4347-88F9-A9B99574F014}"/>
                </a:ext>
              </a:extLst>
            </xdr:cNvPr>
            <xdr:cNvSpPr txBox="1"/>
          </xdr:nvSpPr>
          <xdr:spPr>
            <a:xfrm>
              <a:off x="16235362" y="82143600"/>
              <a:ext cx="10287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4</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𝐸_𝑃/𝑡_𝑃    1/(𝐼_𝑃^2 )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444503</xdr:colOff>
      <xdr:row>274</xdr:row>
      <xdr:rowOff>116416</xdr:rowOff>
    </xdr:from>
    <xdr:ext cx="878416" cy="457200"/>
    <mc:AlternateContent xmlns:mc="http://schemas.openxmlformats.org/markup-compatibility/2006">
      <mc:Choice xmlns:a14="http://schemas.microsoft.com/office/drawing/2010/main" Requires="a14">
        <xdr:sp macro="" textlink="">
          <xdr:nvSpPr>
            <xdr:cNvPr id="24" name="TextBox 23">
              <a:extLst>
                <a:ext uri="{FF2B5EF4-FFF2-40B4-BE49-F238E27FC236}">
                  <a16:creationId xmlns:a16="http://schemas.microsoft.com/office/drawing/2014/main" id="{C5BDFE38-0460-4C57-AFC9-DAA386BC3506}"/>
                </a:ext>
              </a:extLst>
            </xdr:cNvPr>
            <xdr:cNvSpPr txBox="1"/>
          </xdr:nvSpPr>
          <xdr:spPr>
            <a:xfrm>
              <a:off x="7750178" y="75878266"/>
              <a:ext cx="878416"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rad>
                      <m:radPr>
                        <m:degHide m:val="on"/>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radPr>
                      <m:deg/>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𝜀</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rad>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4" name="TextBox 23">
              <a:extLst>
                <a:ext uri="{FF2B5EF4-FFF2-40B4-BE49-F238E27FC236}">
                  <a16:creationId xmlns:a16="http://schemas.microsoft.com/office/drawing/2014/main" id="{C5BDFE38-0460-4C57-AFC9-DAA386BC3506}"/>
                </a:ext>
              </a:extLst>
            </xdr:cNvPr>
            <xdr:cNvSpPr txBox="1"/>
          </xdr:nvSpPr>
          <xdr:spPr>
            <a:xfrm>
              <a:off x="7750178" y="75878266"/>
              <a:ext cx="878416"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√(4𝜋𝜀_0 ℏ𝑐)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533529</xdr:colOff>
      <xdr:row>302</xdr:row>
      <xdr:rowOff>61382</xdr:rowOff>
    </xdr:from>
    <xdr:ext cx="750093" cy="502920"/>
    <mc:AlternateContent xmlns:mc="http://schemas.openxmlformats.org/markup-compatibility/2006">
      <mc:Choice xmlns:a14="http://schemas.microsoft.com/office/drawing/2010/main" Requires="a14">
        <xdr:sp macro="" textlink="">
          <xdr:nvSpPr>
            <xdr:cNvPr id="25" name="TextBox 24">
              <a:extLst>
                <a:ext uri="{FF2B5EF4-FFF2-40B4-BE49-F238E27FC236}">
                  <a16:creationId xmlns:a16="http://schemas.microsoft.com/office/drawing/2014/main" id="{ED24F868-039D-4494-ABAD-D4A66D029AC0}"/>
                </a:ext>
              </a:extLst>
            </xdr:cNvPr>
            <xdr:cNvSpPr txBox="1"/>
          </xdr:nvSpPr>
          <xdr:spPr>
            <a:xfrm>
              <a:off x="16411704" y="87586607"/>
              <a:ext cx="75009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5" name="TextBox 24">
              <a:extLst>
                <a:ext uri="{FF2B5EF4-FFF2-40B4-BE49-F238E27FC236}">
                  <a16:creationId xmlns:a16="http://schemas.microsoft.com/office/drawing/2014/main" id="{ED24F868-039D-4494-ABAD-D4A66D029AC0}"/>
                </a:ext>
              </a:extLst>
            </xdr:cNvPr>
            <xdr:cNvSpPr txBox="1"/>
          </xdr:nvSpPr>
          <xdr:spPr>
            <a:xfrm>
              <a:off x="16411704" y="87586607"/>
              <a:ext cx="75009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𝐸_𝑃/𝑡_𝑃   (𝑡_𝑃/𝑞_𝑃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654051</xdr:colOff>
      <xdr:row>302</xdr:row>
      <xdr:rowOff>50800</xdr:rowOff>
    </xdr:from>
    <xdr:ext cx="352424" cy="406241"/>
    <mc:AlternateContent xmlns:mc="http://schemas.openxmlformats.org/markup-compatibility/2006">
      <mc:Choice xmlns:a14="http://schemas.microsoft.com/office/drawing/2010/main" Requires="a14">
        <xdr:sp macro="" textlink="">
          <xdr:nvSpPr>
            <xdr:cNvPr id="26" name="TextBox 25">
              <a:extLst>
                <a:ext uri="{FF2B5EF4-FFF2-40B4-BE49-F238E27FC236}">
                  <a16:creationId xmlns:a16="http://schemas.microsoft.com/office/drawing/2014/main" id="{43B25D9F-6DDC-4059-89C8-732485863866}"/>
                </a:ext>
              </a:extLst>
            </xdr:cNvPr>
            <xdr:cNvSpPr txBox="1"/>
          </xdr:nvSpPr>
          <xdr:spPr>
            <a:xfrm>
              <a:off x="13103226" y="87576025"/>
              <a:ext cx="352424" cy="406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6" name="TextBox 25">
              <a:extLst>
                <a:ext uri="{FF2B5EF4-FFF2-40B4-BE49-F238E27FC236}">
                  <a16:creationId xmlns:a16="http://schemas.microsoft.com/office/drawing/2014/main" id="{43B25D9F-6DDC-4059-89C8-732485863866}"/>
                </a:ext>
              </a:extLst>
            </xdr:cNvPr>
            <xdr:cNvSpPr txBox="1"/>
          </xdr:nvSpPr>
          <xdr:spPr>
            <a:xfrm>
              <a:off x="13103226" y="87576025"/>
              <a:ext cx="352424" cy="406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𝐸_𝑃/𝑞_𝑃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498871</xdr:colOff>
      <xdr:row>302</xdr:row>
      <xdr:rowOff>52161</xdr:rowOff>
    </xdr:from>
    <xdr:ext cx="699293" cy="502920"/>
    <mc:AlternateContent xmlns:mc="http://schemas.openxmlformats.org/markup-compatibility/2006">
      <mc:Choice xmlns:a14="http://schemas.microsoft.com/office/drawing/2010/main" Requires="a14">
        <xdr:sp macro="" textlink="">
          <xdr:nvSpPr>
            <xdr:cNvPr id="27" name="TextBox 26">
              <a:extLst>
                <a:ext uri="{FF2B5EF4-FFF2-40B4-BE49-F238E27FC236}">
                  <a16:creationId xmlns:a16="http://schemas.microsoft.com/office/drawing/2014/main" id="{69D4A51D-B076-4F02-A0DD-85286BBB2FDA}"/>
                </a:ext>
              </a:extLst>
            </xdr:cNvPr>
            <xdr:cNvSpPr txBox="1"/>
          </xdr:nvSpPr>
          <xdr:spPr>
            <a:xfrm>
              <a:off x="9519046" y="87577386"/>
              <a:ext cx="69929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7" name="TextBox 26">
              <a:extLst>
                <a:ext uri="{FF2B5EF4-FFF2-40B4-BE49-F238E27FC236}">
                  <a16:creationId xmlns:a16="http://schemas.microsoft.com/office/drawing/2014/main" id="{69D4A51D-B076-4F02-A0DD-85286BBB2FDA}"/>
                </a:ext>
              </a:extLst>
            </xdr:cNvPr>
            <xdr:cNvSpPr txBox="1"/>
          </xdr:nvSpPr>
          <xdr:spPr>
            <a:xfrm>
              <a:off x="9519046" y="87577386"/>
              <a:ext cx="69929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𝐸_𝑃/𝑡_𝑃   (1/𝐼_𝑃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592533</xdr:colOff>
      <xdr:row>301</xdr:row>
      <xdr:rowOff>50272</xdr:rowOff>
    </xdr:from>
    <xdr:ext cx="511968" cy="502920"/>
    <mc:AlternateContent xmlns:mc="http://schemas.openxmlformats.org/markup-compatibility/2006">
      <mc:Choice xmlns:a14="http://schemas.microsoft.com/office/drawing/2010/main" Requires="a14">
        <xdr:sp macro="" textlink="">
          <xdr:nvSpPr>
            <xdr:cNvPr id="28" name="TextBox 27">
              <a:extLst>
                <a:ext uri="{FF2B5EF4-FFF2-40B4-BE49-F238E27FC236}">
                  <a16:creationId xmlns:a16="http://schemas.microsoft.com/office/drawing/2014/main" id="{810BA926-DBF5-422F-995F-EB9563C0A843}"/>
                </a:ext>
              </a:extLst>
            </xdr:cNvPr>
            <xdr:cNvSpPr txBox="1"/>
          </xdr:nvSpPr>
          <xdr:spPr>
            <a:xfrm>
              <a:off x="9612708" y="86946847"/>
              <a:ext cx="51196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8" name="TextBox 27">
              <a:extLst>
                <a:ext uri="{FF2B5EF4-FFF2-40B4-BE49-F238E27FC236}">
                  <a16:creationId xmlns:a16="http://schemas.microsoft.com/office/drawing/2014/main" id="{810BA926-DBF5-422F-995F-EB9563C0A843}"/>
                </a:ext>
              </a:extLst>
            </xdr:cNvPr>
            <xdr:cNvSpPr txBox="1"/>
          </xdr:nvSpPr>
          <xdr:spPr>
            <a:xfrm>
              <a:off x="9612708" y="86946847"/>
              <a:ext cx="51196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𝑞_𝑃/𝑡_𝑃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514479</xdr:colOff>
      <xdr:row>303</xdr:row>
      <xdr:rowOff>61735</xdr:rowOff>
    </xdr:from>
    <xdr:ext cx="788193" cy="502920"/>
    <mc:AlternateContent xmlns:mc="http://schemas.openxmlformats.org/markup-compatibility/2006">
      <mc:Choice xmlns:a14="http://schemas.microsoft.com/office/drawing/2010/main" Requires="a14">
        <xdr:sp macro="" textlink="">
          <xdr:nvSpPr>
            <xdr:cNvPr id="29" name="TextBox 28">
              <a:extLst>
                <a:ext uri="{FF2B5EF4-FFF2-40B4-BE49-F238E27FC236}">
                  <a16:creationId xmlns:a16="http://schemas.microsoft.com/office/drawing/2014/main" id="{59A686CF-6C0D-42F9-A0E7-DEDC99E3AA9D}"/>
                </a:ext>
              </a:extLst>
            </xdr:cNvPr>
            <xdr:cNvSpPr txBox="1"/>
          </xdr:nvSpPr>
          <xdr:spPr>
            <a:xfrm>
              <a:off x="16392654" y="88215610"/>
              <a:ext cx="78819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29" name="TextBox 28">
              <a:extLst>
                <a:ext uri="{FF2B5EF4-FFF2-40B4-BE49-F238E27FC236}">
                  <a16:creationId xmlns:a16="http://schemas.microsoft.com/office/drawing/2014/main" id="{59A686CF-6C0D-42F9-A0E7-DEDC99E3AA9D}"/>
                </a:ext>
              </a:extLst>
            </xdr:cNvPr>
            <xdr:cNvSpPr txBox="1"/>
          </xdr:nvSpPr>
          <xdr:spPr>
            <a:xfrm>
              <a:off x="16392654" y="88215610"/>
              <a:ext cx="78819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𝐸_𝑃/𝑡_𝑃   (𝑡_𝑃/𝑞_𝑃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551388</xdr:colOff>
      <xdr:row>304</xdr:row>
      <xdr:rowOff>62089</xdr:rowOff>
    </xdr:from>
    <xdr:ext cx="714375" cy="502920"/>
    <mc:AlternateContent xmlns:mc="http://schemas.openxmlformats.org/markup-compatibility/2006">
      <mc:Choice xmlns:a14="http://schemas.microsoft.com/office/drawing/2010/main" Requires="a14">
        <xdr:sp macro="" textlink="">
          <xdr:nvSpPr>
            <xdr:cNvPr id="30" name="TextBox 29">
              <a:extLst>
                <a:ext uri="{FF2B5EF4-FFF2-40B4-BE49-F238E27FC236}">
                  <a16:creationId xmlns:a16="http://schemas.microsoft.com/office/drawing/2014/main" id="{4749D084-6DEC-44B6-A4AE-3249543063EB}"/>
                </a:ext>
              </a:extLst>
            </xdr:cNvPr>
            <xdr:cNvSpPr txBox="1"/>
          </xdr:nvSpPr>
          <xdr:spPr>
            <a:xfrm>
              <a:off x="16429563" y="88844614"/>
              <a:ext cx="71437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0" name="TextBox 29">
              <a:extLst>
                <a:ext uri="{FF2B5EF4-FFF2-40B4-BE49-F238E27FC236}">
                  <a16:creationId xmlns:a16="http://schemas.microsoft.com/office/drawing/2014/main" id="{4749D084-6DEC-44B6-A4AE-3249543063EB}"/>
                </a:ext>
              </a:extLst>
            </xdr:cNvPr>
            <xdr:cNvSpPr txBox="1"/>
          </xdr:nvSpPr>
          <xdr:spPr>
            <a:xfrm>
              <a:off x="16429563" y="88844614"/>
              <a:ext cx="71437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𝐸_𝑃 (𝑡_𝑃/𝑞_𝑃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434976</xdr:colOff>
      <xdr:row>304</xdr:row>
      <xdr:rowOff>112892</xdr:rowOff>
    </xdr:from>
    <xdr:ext cx="790575" cy="428625"/>
    <mc:AlternateContent xmlns:mc="http://schemas.openxmlformats.org/markup-compatibility/2006">
      <mc:Choice xmlns:a14="http://schemas.microsoft.com/office/drawing/2010/main" Requires="a14">
        <xdr:sp macro="" textlink="">
          <xdr:nvSpPr>
            <xdr:cNvPr id="31" name="TextBox 30">
              <a:extLst>
                <a:ext uri="{FF2B5EF4-FFF2-40B4-BE49-F238E27FC236}">
                  <a16:creationId xmlns:a16="http://schemas.microsoft.com/office/drawing/2014/main" id="{097B9120-9BC6-4D97-AE9C-8AA43183B46D}"/>
                </a:ext>
              </a:extLst>
            </xdr:cNvPr>
            <xdr:cNvSpPr txBox="1"/>
          </xdr:nvSpPr>
          <xdr:spPr>
            <a:xfrm>
              <a:off x="12884151" y="88895417"/>
              <a:ext cx="79057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1" name="TextBox 30">
              <a:extLst>
                <a:ext uri="{FF2B5EF4-FFF2-40B4-BE49-F238E27FC236}">
                  <a16:creationId xmlns:a16="http://schemas.microsoft.com/office/drawing/2014/main" id="{097B9120-9BC6-4D97-AE9C-8AA43183B46D}"/>
                </a:ext>
              </a:extLst>
            </xdr:cNvPr>
            <xdr:cNvSpPr txBox="1"/>
          </xdr:nvSpPr>
          <xdr:spPr>
            <a:xfrm>
              <a:off x="12884151" y="88895417"/>
              <a:ext cx="79057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𝑚_𝑃 (𝑙_𝑃/𝑞_𝑃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491330</xdr:colOff>
      <xdr:row>304</xdr:row>
      <xdr:rowOff>55941</xdr:rowOff>
    </xdr:from>
    <xdr:ext cx="714375" cy="502920"/>
    <mc:AlternateContent xmlns:mc="http://schemas.openxmlformats.org/markup-compatibility/2006">
      <mc:Choice xmlns:a14="http://schemas.microsoft.com/office/drawing/2010/main" Requires="a14">
        <xdr:sp macro="" textlink="">
          <xdr:nvSpPr>
            <xdr:cNvPr id="32" name="TextBox 31">
              <a:extLst>
                <a:ext uri="{FF2B5EF4-FFF2-40B4-BE49-F238E27FC236}">
                  <a16:creationId xmlns:a16="http://schemas.microsoft.com/office/drawing/2014/main" id="{9EF4AFE4-251C-4024-B194-BBBC14A04E19}"/>
                </a:ext>
              </a:extLst>
            </xdr:cNvPr>
            <xdr:cNvSpPr txBox="1"/>
          </xdr:nvSpPr>
          <xdr:spPr>
            <a:xfrm>
              <a:off x="9511505" y="88838466"/>
              <a:ext cx="71437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𝑝</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2" name="TextBox 31">
              <a:extLst>
                <a:ext uri="{FF2B5EF4-FFF2-40B4-BE49-F238E27FC236}">
                  <a16:creationId xmlns:a16="http://schemas.microsoft.com/office/drawing/2014/main" id="{9EF4AFE4-251C-4024-B194-BBBC14A04E19}"/>
                </a:ext>
              </a:extLst>
            </xdr:cNvPr>
            <xdr:cNvSpPr txBox="1"/>
          </xdr:nvSpPr>
          <xdr:spPr>
            <a:xfrm>
              <a:off x="9511505" y="88838466"/>
              <a:ext cx="71437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𝐸_𝑃 (1/𝐼_𝑝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575201</xdr:colOff>
      <xdr:row>305</xdr:row>
      <xdr:rowOff>62442</xdr:rowOff>
    </xdr:from>
    <xdr:ext cx="666749" cy="502920"/>
    <mc:AlternateContent xmlns:mc="http://schemas.openxmlformats.org/markup-compatibility/2006">
      <mc:Choice xmlns:a14="http://schemas.microsoft.com/office/drawing/2010/main" Requires="a14">
        <xdr:sp macro="" textlink="">
          <xdr:nvSpPr>
            <xdr:cNvPr id="33" name="TextBox 32">
              <a:extLst>
                <a:ext uri="{FF2B5EF4-FFF2-40B4-BE49-F238E27FC236}">
                  <a16:creationId xmlns:a16="http://schemas.microsoft.com/office/drawing/2014/main" id="{D345C2E6-55FB-4476-81AB-D736196748EC}"/>
                </a:ext>
              </a:extLst>
            </xdr:cNvPr>
            <xdr:cNvSpPr txBox="1"/>
          </xdr:nvSpPr>
          <xdr:spPr>
            <a:xfrm>
              <a:off x="16453376" y="89473617"/>
              <a:ext cx="666749"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3" name="TextBox 32">
              <a:extLst>
                <a:ext uri="{FF2B5EF4-FFF2-40B4-BE49-F238E27FC236}">
                  <a16:creationId xmlns:a16="http://schemas.microsoft.com/office/drawing/2014/main" id="{D345C2E6-55FB-4476-81AB-D736196748EC}"/>
                </a:ext>
              </a:extLst>
            </xdr:cNvPr>
            <xdr:cNvSpPr txBox="1"/>
          </xdr:nvSpPr>
          <xdr:spPr>
            <a:xfrm>
              <a:off x="16453376" y="89473617"/>
              <a:ext cx="666749"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𝑚_𝑃/(𝑡_𝑃^2 )  (𝑡_𝑃/𝑞_𝑃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582613</xdr:colOff>
      <xdr:row>305</xdr:row>
      <xdr:rowOff>83694</xdr:rowOff>
    </xdr:from>
    <xdr:ext cx="495300" cy="475900"/>
    <mc:AlternateContent xmlns:mc="http://schemas.openxmlformats.org/markup-compatibility/2006">
      <mc:Choice xmlns:a14="http://schemas.microsoft.com/office/drawing/2010/main" Requires="a14">
        <xdr:sp macro="" textlink="">
          <xdr:nvSpPr>
            <xdr:cNvPr id="34" name="TextBox 33">
              <a:extLst>
                <a:ext uri="{FF2B5EF4-FFF2-40B4-BE49-F238E27FC236}">
                  <a16:creationId xmlns:a16="http://schemas.microsoft.com/office/drawing/2014/main" id="{90319A0D-A4A9-44FA-B883-8DD050417198}"/>
                </a:ext>
              </a:extLst>
            </xdr:cNvPr>
            <xdr:cNvSpPr txBox="1"/>
          </xdr:nvSpPr>
          <xdr:spPr>
            <a:xfrm>
              <a:off x="13031788" y="89494869"/>
              <a:ext cx="495300" cy="475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4" name="TextBox 33">
              <a:extLst>
                <a:ext uri="{FF2B5EF4-FFF2-40B4-BE49-F238E27FC236}">
                  <a16:creationId xmlns:a16="http://schemas.microsoft.com/office/drawing/2014/main" id="{90319A0D-A4A9-44FA-B883-8DD050417198}"/>
                </a:ext>
              </a:extLst>
            </xdr:cNvPr>
            <xdr:cNvSpPr txBox="1"/>
          </xdr:nvSpPr>
          <xdr:spPr>
            <a:xfrm>
              <a:off x="13031788" y="89494869"/>
              <a:ext cx="495300" cy="475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𝑚_𝑃/(𝑡_𝑃 𝑞_𝑃 )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448731</xdr:colOff>
      <xdr:row>305</xdr:row>
      <xdr:rowOff>57831</xdr:rowOff>
    </xdr:from>
    <xdr:ext cx="799572" cy="502920"/>
    <mc:AlternateContent xmlns:mc="http://schemas.openxmlformats.org/markup-compatibility/2006">
      <mc:Choice xmlns:a14="http://schemas.microsoft.com/office/drawing/2010/main" Requires="a14">
        <xdr:sp macro="" textlink="">
          <xdr:nvSpPr>
            <xdr:cNvPr id="35" name="TextBox 34">
              <a:extLst>
                <a:ext uri="{FF2B5EF4-FFF2-40B4-BE49-F238E27FC236}">
                  <a16:creationId xmlns:a16="http://schemas.microsoft.com/office/drawing/2014/main" id="{6E8BF86D-F0B0-4402-9A20-EE7D8F269490}"/>
                </a:ext>
              </a:extLst>
            </xdr:cNvPr>
            <xdr:cNvSpPr txBox="1"/>
          </xdr:nvSpPr>
          <xdr:spPr>
            <a:xfrm>
              <a:off x="9468906" y="89469006"/>
              <a:ext cx="799572"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5" name="TextBox 34">
              <a:extLst>
                <a:ext uri="{FF2B5EF4-FFF2-40B4-BE49-F238E27FC236}">
                  <a16:creationId xmlns:a16="http://schemas.microsoft.com/office/drawing/2014/main" id="{6E8BF86D-F0B0-4402-9A20-EE7D8F269490}"/>
                </a:ext>
              </a:extLst>
            </xdr:cNvPr>
            <xdr:cNvSpPr txBox="1"/>
          </xdr:nvSpPr>
          <xdr:spPr>
            <a:xfrm>
              <a:off x="9468906" y="89469006"/>
              <a:ext cx="799572"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𝑚_𝑃/(𝑡_𝑃^2 )  (1/𝐼_𝑃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454026</xdr:colOff>
      <xdr:row>306</xdr:row>
      <xdr:rowOff>39253</xdr:rowOff>
    </xdr:from>
    <xdr:ext cx="752475" cy="520339"/>
    <mc:AlternateContent xmlns:mc="http://schemas.openxmlformats.org/markup-compatibility/2006">
      <mc:Choice xmlns:a14="http://schemas.microsoft.com/office/drawing/2010/main" Requires="a14">
        <xdr:sp macro="" textlink="">
          <xdr:nvSpPr>
            <xdr:cNvPr id="36" name="TextBox 35">
              <a:extLst>
                <a:ext uri="{FF2B5EF4-FFF2-40B4-BE49-F238E27FC236}">
                  <a16:creationId xmlns:a16="http://schemas.microsoft.com/office/drawing/2014/main" id="{3044CAC9-BA73-47E8-BB5C-2C94B1BDD768}"/>
                </a:ext>
              </a:extLst>
            </xdr:cNvPr>
            <xdr:cNvSpPr txBox="1"/>
          </xdr:nvSpPr>
          <xdr:spPr>
            <a:xfrm>
              <a:off x="12903201" y="90079078"/>
              <a:ext cx="752475" cy="520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6" name="TextBox 35">
              <a:extLst>
                <a:ext uri="{FF2B5EF4-FFF2-40B4-BE49-F238E27FC236}">
                  <a16:creationId xmlns:a16="http://schemas.microsoft.com/office/drawing/2014/main" id="{3044CAC9-BA73-47E8-BB5C-2C94B1BDD768}"/>
                </a:ext>
              </a:extLst>
            </xdr:cNvPr>
            <xdr:cNvSpPr txBox="1"/>
          </xdr:nvSpPr>
          <xdr:spPr>
            <a:xfrm>
              <a:off x="12903201" y="90079078"/>
              <a:ext cx="752475" cy="520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𝑡_𝑃/𝑚_𝑃  (𝑞_𝑃/𝑙_𝑃 )^2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563561</xdr:colOff>
      <xdr:row>306</xdr:row>
      <xdr:rowOff>59720</xdr:rowOff>
    </xdr:from>
    <xdr:ext cx="569912" cy="502920"/>
    <mc:AlternateContent xmlns:mc="http://schemas.openxmlformats.org/markup-compatibility/2006">
      <mc:Choice xmlns:a14="http://schemas.microsoft.com/office/drawing/2010/main" Requires="a14">
        <xdr:sp macro="" textlink="">
          <xdr:nvSpPr>
            <xdr:cNvPr id="37" name="TextBox 36">
              <a:extLst>
                <a:ext uri="{FF2B5EF4-FFF2-40B4-BE49-F238E27FC236}">
                  <a16:creationId xmlns:a16="http://schemas.microsoft.com/office/drawing/2014/main" id="{EEB3185A-814F-4A84-8499-246046D9E18C}"/>
                </a:ext>
              </a:extLst>
            </xdr:cNvPr>
            <xdr:cNvSpPr txBox="1"/>
          </xdr:nvSpPr>
          <xdr:spPr>
            <a:xfrm>
              <a:off x="9583736" y="90099545"/>
              <a:ext cx="569912"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7" name="TextBox 36">
              <a:extLst>
                <a:ext uri="{FF2B5EF4-FFF2-40B4-BE49-F238E27FC236}">
                  <a16:creationId xmlns:a16="http://schemas.microsoft.com/office/drawing/2014/main" id="{EEB3185A-814F-4A84-8499-246046D9E18C}"/>
                </a:ext>
              </a:extLst>
            </xdr:cNvPr>
            <xdr:cNvSpPr txBox="1"/>
          </xdr:nvSpPr>
          <xdr:spPr>
            <a:xfrm>
              <a:off x="9583736" y="90099545"/>
              <a:ext cx="569912"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𝑡_𝑃/𝐸_𝑃   𝐼_𝑃^2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556150</xdr:colOff>
      <xdr:row>306</xdr:row>
      <xdr:rowOff>62795</xdr:rowOff>
    </xdr:from>
    <xdr:ext cx="704850" cy="502920"/>
    <mc:AlternateContent xmlns:mc="http://schemas.openxmlformats.org/markup-compatibility/2006">
      <mc:Choice xmlns:a14="http://schemas.microsoft.com/office/drawing/2010/main" Requires="a14">
        <xdr:sp macro="" textlink="">
          <xdr:nvSpPr>
            <xdr:cNvPr id="38" name="TextBox 37">
              <a:extLst>
                <a:ext uri="{FF2B5EF4-FFF2-40B4-BE49-F238E27FC236}">
                  <a16:creationId xmlns:a16="http://schemas.microsoft.com/office/drawing/2014/main" id="{FD43BCE9-4DCE-41AB-BF86-5C2FCB0341F9}"/>
                </a:ext>
              </a:extLst>
            </xdr:cNvPr>
            <xdr:cNvSpPr txBox="1"/>
          </xdr:nvSpPr>
          <xdr:spPr>
            <a:xfrm>
              <a:off x="16434325" y="90102620"/>
              <a:ext cx="70485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8" name="TextBox 37">
              <a:extLst>
                <a:ext uri="{FF2B5EF4-FFF2-40B4-BE49-F238E27FC236}">
                  <a16:creationId xmlns:a16="http://schemas.microsoft.com/office/drawing/2014/main" id="{FD43BCE9-4DCE-41AB-BF86-5C2FCB0341F9}"/>
                </a:ext>
              </a:extLst>
            </xdr:cNvPr>
            <xdr:cNvSpPr txBox="1"/>
          </xdr:nvSpPr>
          <xdr:spPr>
            <a:xfrm>
              <a:off x="16434325" y="90102620"/>
              <a:ext cx="70485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𝑡_𝑃/𝐸_𝑃   (𝑞_𝑃/𝑡_𝑃 )^2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655638</xdr:colOff>
      <xdr:row>307</xdr:row>
      <xdr:rowOff>71967</xdr:rowOff>
    </xdr:from>
    <xdr:ext cx="349250" cy="438150"/>
    <mc:AlternateContent xmlns:mc="http://schemas.openxmlformats.org/markup-compatibility/2006">
      <mc:Choice xmlns:a14="http://schemas.microsoft.com/office/drawing/2010/main" Requires="a14">
        <xdr:sp macro="" textlink="">
          <xdr:nvSpPr>
            <xdr:cNvPr id="39" name="TextBox 38">
              <a:extLst>
                <a:ext uri="{FF2B5EF4-FFF2-40B4-BE49-F238E27FC236}">
                  <a16:creationId xmlns:a16="http://schemas.microsoft.com/office/drawing/2014/main" id="{9F8327D5-DA57-4B1D-B976-C13B441887C8}"/>
                </a:ext>
              </a:extLst>
            </xdr:cNvPr>
            <xdr:cNvSpPr txBox="1"/>
          </xdr:nvSpPr>
          <xdr:spPr>
            <a:xfrm>
              <a:off x="13104813" y="90740442"/>
              <a:ext cx="349250" cy="438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39" name="TextBox 38">
              <a:extLst>
                <a:ext uri="{FF2B5EF4-FFF2-40B4-BE49-F238E27FC236}">
                  <a16:creationId xmlns:a16="http://schemas.microsoft.com/office/drawing/2014/main" id="{9F8327D5-DA57-4B1D-B976-C13B441887C8}"/>
                </a:ext>
              </a:extLst>
            </xdr:cNvPr>
            <xdr:cNvSpPr txBox="1"/>
          </xdr:nvSpPr>
          <xdr:spPr>
            <a:xfrm>
              <a:off x="13104813" y="90740442"/>
              <a:ext cx="349250" cy="438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(𝑞_𝑃^2)/𝐸_𝑃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556150</xdr:colOff>
      <xdr:row>307</xdr:row>
      <xdr:rowOff>63149</xdr:rowOff>
    </xdr:from>
    <xdr:ext cx="704850" cy="502920"/>
    <mc:AlternateContent xmlns:mc="http://schemas.openxmlformats.org/markup-compatibility/2006">
      <mc:Choice xmlns:a14="http://schemas.microsoft.com/office/drawing/2010/main" Requires="a14">
        <xdr:sp macro="" textlink="">
          <xdr:nvSpPr>
            <xdr:cNvPr id="40" name="TextBox 39">
              <a:extLst>
                <a:ext uri="{FF2B5EF4-FFF2-40B4-BE49-F238E27FC236}">
                  <a16:creationId xmlns:a16="http://schemas.microsoft.com/office/drawing/2014/main" id="{78364B3A-C6F0-4922-BBA9-8BDC86C13334}"/>
                </a:ext>
              </a:extLst>
            </xdr:cNvPr>
            <xdr:cNvSpPr txBox="1"/>
          </xdr:nvSpPr>
          <xdr:spPr>
            <a:xfrm>
              <a:off x="16434325" y="90731624"/>
              <a:ext cx="70485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0" name="TextBox 39">
              <a:extLst>
                <a:ext uri="{FF2B5EF4-FFF2-40B4-BE49-F238E27FC236}">
                  <a16:creationId xmlns:a16="http://schemas.microsoft.com/office/drawing/2014/main" id="{78364B3A-C6F0-4922-BBA9-8BDC86C13334}"/>
                </a:ext>
              </a:extLst>
            </xdr:cNvPr>
            <xdr:cNvSpPr txBox="1"/>
          </xdr:nvSpPr>
          <xdr:spPr>
            <a:xfrm>
              <a:off x="16434325" y="90731624"/>
              <a:ext cx="70485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(𝑡_𝑃^2)/𝐸_𝑃   (𝑞_𝑃/𝑡_𝑃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596105</xdr:colOff>
      <xdr:row>307</xdr:row>
      <xdr:rowOff>61610</xdr:rowOff>
    </xdr:from>
    <xdr:ext cx="504825" cy="502920"/>
    <mc:AlternateContent xmlns:mc="http://schemas.openxmlformats.org/markup-compatibility/2006">
      <mc:Choice xmlns:a14="http://schemas.microsoft.com/office/drawing/2010/main" Requires="a14">
        <xdr:sp macro="" textlink="">
          <xdr:nvSpPr>
            <xdr:cNvPr id="41" name="TextBox 40">
              <a:extLst>
                <a:ext uri="{FF2B5EF4-FFF2-40B4-BE49-F238E27FC236}">
                  <a16:creationId xmlns:a16="http://schemas.microsoft.com/office/drawing/2014/main" id="{DF9260CC-DF95-47F6-B610-96FC2FEB2B1D}"/>
                </a:ext>
              </a:extLst>
            </xdr:cNvPr>
            <xdr:cNvSpPr txBox="1"/>
          </xdr:nvSpPr>
          <xdr:spPr>
            <a:xfrm>
              <a:off x="9616280" y="90730085"/>
              <a:ext cx="50482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1" name="TextBox 40">
              <a:extLst>
                <a:ext uri="{FF2B5EF4-FFF2-40B4-BE49-F238E27FC236}">
                  <a16:creationId xmlns:a16="http://schemas.microsoft.com/office/drawing/2014/main" id="{DF9260CC-DF95-47F6-B610-96FC2FEB2B1D}"/>
                </a:ext>
              </a:extLst>
            </xdr:cNvPr>
            <xdr:cNvSpPr txBox="1"/>
          </xdr:nvSpPr>
          <xdr:spPr>
            <a:xfrm>
              <a:off x="9616280" y="90730085"/>
              <a:ext cx="50482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(𝑡_𝑃^2)/𝐸_𝑃   𝐼_𝑃^2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507996</xdr:colOff>
      <xdr:row>308</xdr:row>
      <xdr:rowOff>63501</xdr:rowOff>
    </xdr:from>
    <xdr:ext cx="801158" cy="502920"/>
    <mc:AlternateContent xmlns:mc="http://schemas.openxmlformats.org/markup-compatibility/2006">
      <mc:Choice xmlns:a14="http://schemas.microsoft.com/office/drawing/2010/main" Requires="a14">
        <xdr:sp macro="" textlink="">
          <xdr:nvSpPr>
            <xdr:cNvPr id="42" name="TextBox 41">
              <a:extLst>
                <a:ext uri="{FF2B5EF4-FFF2-40B4-BE49-F238E27FC236}">
                  <a16:creationId xmlns:a16="http://schemas.microsoft.com/office/drawing/2014/main" id="{1791A919-A61A-435C-B389-D10635B43B95}"/>
                </a:ext>
              </a:extLst>
            </xdr:cNvPr>
            <xdr:cNvSpPr txBox="1"/>
          </xdr:nvSpPr>
          <xdr:spPr>
            <a:xfrm>
              <a:off x="16386171" y="91360626"/>
              <a:ext cx="80115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2" name="TextBox 41">
              <a:extLst>
                <a:ext uri="{FF2B5EF4-FFF2-40B4-BE49-F238E27FC236}">
                  <a16:creationId xmlns:a16="http://schemas.microsoft.com/office/drawing/2014/main" id="{1791A919-A61A-435C-B389-D10635B43B95}"/>
                </a:ext>
              </a:extLst>
            </xdr:cNvPr>
            <xdr:cNvSpPr txBox="1"/>
          </xdr:nvSpPr>
          <xdr:spPr>
            <a:xfrm>
              <a:off x="16386171" y="91360626"/>
              <a:ext cx="80115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𝐸_𝑃  (𝑡_𝑃/𝑞_𝑃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497414</xdr:colOff>
      <xdr:row>308</xdr:row>
      <xdr:rowOff>63499</xdr:rowOff>
    </xdr:from>
    <xdr:ext cx="702206" cy="502920"/>
    <mc:AlternateContent xmlns:mc="http://schemas.openxmlformats.org/markup-compatibility/2006">
      <mc:Choice xmlns:a14="http://schemas.microsoft.com/office/drawing/2010/main" Requires="a14">
        <xdr:sp macro="" textlink="">
          <xdr:nvSpPr>
            <xdr:cNvPr id="43" name="TextBox 42">
              <a:extLst>
                <a:ext uri="{FF2B5EF4-FFF2-40B4-BE49-F238E27FC236}">
                  <a16:creationId xmlns:a16="http://schemas.microsoft.com/office/drawing/2014/main" id="{D0314443-38DB-4787-B161-B5636C6EE33B}"/>
                </a:ext>
              </a:extLst>
            </xdr:cNvPr>
            <xdr:cNvSpPr txBox="1"/>
          </xdr:nvSpPr>
          <xdr:spPr>
            <a:xfrm>
              <a:off x="9517589" y="91360624"/>
              <a:ext cx="70220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3" name="TextBox 42">
              <a:extLst>
                <a:ext uri="{FF2B5EF4-FFF2-40B4-BE49-F238E27FC236}">
                  <a16:creationId xmlns:a16="http://schemas.microsoft.com/office/drawing/2014/main" id="{D0314443-38DB-4787-B161-B5636C6EE33B}"/>
                </a:ext>
              </a:extLst>
            </xdr:cNvPr>
            <xdr:cNvSpPr txBox="1"/>
          </xdr:nvSpPr>
          <xdr:spPr>
            <a:xfrm>
              <a:off x="9517589" y="91360624"/>
              <a:ext cx="70220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𝐸_𝑃 (1/𝐼_𝑃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608545</xdr:colOff>
      <xdr:row>278</xdr:row>
      <xdr:rowOff>87312</xdr:rowOff>
    </xdr:from>
    <xdr:ext cx="550333" cy="457200"/>
    <mc:AlternateContent xmlns:mc="http://schemas.openxmlformats.org/markup-compatibility/2006">
      <mc:Choice xmlns:a14="http://schemas.microsoft.com/office/drawing/2010/main" Requires="a14">
        <xdr:sp macro="" textlink="">
          <xdr:nvSpPr>
            <xdr:cNvPr id="44" name="TextBox 43">
              <a:extLst>
                <a:ext uri="{FF2B5EF4-FFF2-40B4-BE49-F238E27FC236}">
                  <a16:creationId xmlns:a16="http://schemas.microsoft.com/office/drawing/2014/main" id="{B671C658-9196-4B53-A081-7E75E605B2BC}"/>
                </a:ext>
              </a:extLst>
            </xdr:cNvPr>
            <xdr:cNvSpPr txBox="1"/>
          </xdr:nvSpPr>
          <xdr:spPr>
            <a:xfrm>
              <a:off x="7914220" y="78363762"/>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𝜀</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4" name="TextBox 43">
              <a:extLst>
                <a:ext uri="{FF2B5EF4-FFF2-40B4-BE49-F238E27FC236}">
                  <a16:creationId xmlns:a16="http://schemas.microsoft.com/office/drawing/2014/main" id="{B671C658-9196-4B53-A081-7E75E605B2BC}"/>
                </a:ext>
              </a:extLst>
            </xdr:cNvPr>
            <xdr:cNvSpPr txBox="1"/>
          </xdr:nvSpPr>
          <xdr:spPr>
            <a:xfrm>
              <a:off x="7914220" y="78363762"/>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1/(4𝜋𝜀_0 )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608545</xdr:colOff>
      <xdr:row>279</xdr:row>
      <xdr:rowOff>88635</xdr:rowOff>
    </xdr:from>
    <xdr:ext cx="550333" cy="457200"/>
    <mc:AlternateContent xmlns:mc="http://schemas.openxmlformats.org/markup-compatibility/2006">
      <mc:Choice xmlns:a14="http://schemas.microsoft.com/office/drawing/2010/main" Requires="a14">
        <xdr:sp macro="" textlink="">
          <xdr:nvSpPr>
            <xdr:cNvPr id="45" name="TextBox 44">
              <a:extLst>
                <a:ext uri="{FF2B5EF4-FFF2-40B4-BE49-F238E27FC236}">
                  <a16:creationId xmlns:a16="http://schemas.microsoft.com/office/drawing/2014/main" id="{CF65D60E-E9D5-4AE9-9830-4ED8ECEE1EB7}"/>
                </a:ext>
              </a:extLst>
            </xdr:cNvPr>
            <xdr:cNvSpPr txBox="1"/>
          </xdr:nvSpPr>
          <xdr:spPr>
            <a:xfrm>
              <a:off x="7914220" y="78993735"/>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num>
                      <m:den>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5" name="TextBox 44">
              <a:extLst>
                <a:ext uri="{FF2B5EF4-FFF2-40B4-BE49-F238E27FC236}">
                  <a16:creationId xmlns:a16="http://schemas.microsoft.com/office/drawing/2014/main" id="{CF65D60E-E9D5-4AE9-9830-4ED8ECEE1EB7}"/>
                </a:ext>
              </a:extLst>
            </xdr:cNvPr>
            <xdr:cNvSpPr txBox="1"/>
          </xdr:nvSpPr>
          <xdr:spPr>
            <a:xfrm>
              <a:off x="7914220" y="78993735"/>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2𝜋ℏ/𝑒^2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608545</xdr:colOff>
      <xdr:row>280</xdr:row>
      <xdr:rowOff>89958</xdr:rowOff>
    </xdr:from>
    <xdr:ext cx="550333" cy="457200"/>
    <mc:AlternateContent xmlns:mc="http://schemas.openxmlformats.org/markup-compatibility/2006">
      <mc:Choice xmlns:a14="http://schemas.microsoft.com/office/drawing/2010/main" Requires="a14">
        <xdr:sp macro="" textlink="">
          <xdr:nvSpPr>
            <xdr:cNvPr id="46" name="TextBox 45">
              <a:extLst>
                <a:ext uri="{FF2B5EF4-FFF2-40B4-BE49-F238E27FC236}">
                  <a16:creationId xmlns:a16="http://schemas.microsoft.com/office/drawing/2014/main" id="{C0E9CBC8-79FB-47D3-92CC-1E5A75BD9927}"/>
                </a:ext>
              </a:extLst>
            </xdr:cNvPr>
            <xdr:cNvSpPr txBox="1"/>
          </xdr:nvSpPr>
          <xdr:spPr>
            <a:xfrm>
              <a:off x="7914220" y="79623708"/>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h</m:t>
                        </m:r>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6" name="TextBox 45">
              <a:extLst>
                <a:ext uri="{FF2B5EF4-FFF2-40B4-BE49-F238E27FC236}">
                  <a16:creationId xmlns:a16="http://schemas.microsoft.com/office/drawing/2014/main" id="{C0E9CBC8-79FB-47D3-92CC-1E5A75BD9927}"/>
                </a:ext>
              </a:extLst>
            </xdr:cNvPr>
            <xdr:cNvSpPr txBox="1"/>
          </xdr:nvSpPr>
          <xdr:spPr>
            <a:xfrm>
              <a:off x="7914220" y="79623708"/>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2𝑒/ℎ</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608545</xdr:colOff>
      <xdr:row>281</xdr:row>
      <xdr:rowOff>91282</xdr:rowOff>
    </xdr:from>
    <xdr:ext cx="550333" cy="457200"/>
    <mc:AlternateContent xmlns:mc="http://schemas.openxmlformats.org/markup-compatibility/2006">
      <mc:Choice xmlns:a14="http://schemas.microsoft.com/office/drawing/2010/main" Requires="a14">
        <xdr:sp macro="" textlink="">
          <xdr:nvSpPr>
            <xdr:cNvPr id="47" name="TextBox 46">
              <a:extLst>
                <a:ext uri="{FF2B5EF4-FFF2-40B4-BE49-F238E27FC236}">
                  <a16:creationId xmlns:a16="http://schemas.microsoft.com/office/drawing/2014/main" id="{CDBD3083-0018-4314-8681-A89C803FA284}"/>
                </a:ext>
              </a:extLst>
            </xdr:cNvPr>
            <xdr:cNvSpPr txBox="1"/>
          </xdr:nvSpPr>
          <xdr:spPr>
            <a:xfrm>
              <a:off x="7914220" y="80253682"/>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sub>
                        </m:sSub>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7" name="TextBox 46">
              <a:extLst>
                <a:ext uri="{FF2B5EF4-FFF2-40B4-BE49-F238E27FC236}">
                  <a16:creationId xmlns:a16="http://schemas.microsoft.com/office/drawing/2014/main" id="{CDBD3083-0018-4314-8681-A89C803FA284}"/>
                </a:ext>
              </a:extLst>
            </xdr:cNvPr>
            <xdr:cNvSpPr txBox="1"/>
          </xdr:nvSpPr>
          <xdr:spPr>
            <a:xfrm>
              <a:off x="7914220" y="80253682"/>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𝑒ℏ/(2𝑚_𝑒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608545</xdr:colOff>
      <xdr:row>282</xdr:row>
      <xdr:rowOff>92605</xdr:rowOff>
    </xdr:from>
    <xdr:ext cx="550333" cy="457200"/>
    <mc:AlternateContent xmlns:mc="http://schemas.openxmlformats.org/markup-compatibility/2006">
      <mc:Choice xmlns:a14="http://schemas.microsoft.com/office/drawing/2010/main" Requires="a14">
        <xdr:sp macro="" textlink="">
          <xdr:nvSpPr>
            <xdr:cNvPr id="48" name="TextBox 47">
              <a:extLst>
                <a:ext uri="{FF2B5EF4-FFF2-40B4-BE49-F238E27FC236}">
                  <a16:creationId xmlns:a16="http://schemas.microsoft.com/office/drawing/2014/main" id="{8EC69681-E191-447F-96BC-669AB82065D9}"/>
                </a:ext>
              </a:extLst>
            </xdr:cNvPr>
            <xdr:cNvSpPr txBox="1"/>
          </xdr:nvSpPr>
          <xdr:spPr>
            <a:xfrm>
              <a:off x="7914220" y="80883655"/>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8" name="TextBox 47">
              <a:extLst>
                <a:ext uri="{FF2B5EF4-FFF2-40B4-BE49-F238E27FC236}">
                  <a16:creationId xmlns:a16="http://schemas.microsoft.com/office/drawing/2014/main" id="{8EC69681-E191-447F-96BC-669AB82065D9}"/>
                </a:ext>
              </a:extLst>
            </xdr:cNvPr>
            <xdr:cNvSpPr txBox="1"/>
          </xdr:nvSpPr>
          <xdr:spPr>
            <a:xfrm>
              <a:off x="7914220" y="80883655"/>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(2𝑒^2)/2𝜋ℏ</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608545</xdr:colOff>
      <xdr:row>283</xdr:row>
      <xdr:rowOff>93928</xdr:rowOff>
    </xdr:from>
    <xdr:ext cx="550333" cy="457200"/>
    <mc:AlternateContent xmlns:mc="http://schemas.openxmlformats.org/markup-compatibility/2006">
      <mc:Choice xmlns:a14="http://schemas.microsoft.com/office/drawing/2010/main" Requires="a14">
        <xdr:sp macro="" textlink="">
          <xdr:nvSpPr>
            <xdr:cNvPr id="49" name="TextBox 48">
              <a:extLst>
                <a:ext uri="{FF2B5EF4-FFF2-40B4-BE49-F238E27FC236}">
                  <a16:creationId xmlns:a16="http://schemas.microsoft.com/office/drawing/2014/main" id="{1E04DC9A-DB82-4F5C-9296-973C3D1471C5}"/>
                </a:ext>
              </a:extLst>
            </xdr:cNvPr>
            <xdr:cNvSpPr txBox="1"/>
          </xdr:nvSpPr>
          <xdr:spPr>
            <a:xfrm>
              <a:off x="7914220" y="81513628"/>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49" name="TextBox 48">
              <a:extLst>
                <a:ext uri="{FF2B5EF4-FFF2-40B4-BE49-F238E27FC236}">
                  <a16:creationId xmlns:a16="http://schemas.microsoft.com/office/drawing/2014/main" id="{1E04DC9A-DB82-4F5C-9296-973C3D1471C5}"/>
                </a:ext>
              </a:extLst>
            </xdr:cNvPr>
            <xdr:cNvSpPr txBox="1"/>
          </xdr:nvSpPr>
          <xdr:spPr>
            <a:xfrm>
              <a:off x="7914220" y="81513628"/>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2𝜋ℏ/2𝑒</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608545</xdr:colOff>
      <xdr:row>284</xdr:row>
      <xdr:rowOff>95251</xdr:rowOff>
    </xdr:from>
    <xdr:ext cx="550333" cy="457200"/>
    <mc:AlternateContent xmlns:mc="http://schemas.openxmlformats.org/markup-compatibility/2006">
      <mc:Choice xmlns:a14="http://schemas.microsoft.com/office/drawing/2010/main" Requires="a14">
        <xdr:sp macro="" textlink="">
          <xdr:nvSpPr>
            <xdr:cNvPr id="50" name="TextBox 49">
              <a:extLst>
                <a:ext uri="{FF2B5EF4-FFF2-40B4-BE49-F238E27FC236}">
                  <a16:creationId xmlns:a16="http://schemas.microsoft.com/office/drawing/2014/main" id="{1F85E36C-C8AF-430F-9714-60DE9960C17E}"/>
                </a:ext>
              </a:extLst>
            </xdr:cNvPr>
            <xdr:cNvSpPr txBox="1"/>
          </xdr:nvSpPr>
          <xdr:spPr>
            <a:xfrm>
              <a:off x="7914220" y="82143601"/>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𝜇</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0" name="TextBox 49">
              <a:extLst>
                <a:ext uri="{FF2B5EF4-FFF2-40B4-BE49-F238E27FC236}">
                  <a16:creationId xmlns:a16="http://schemas.microsoft.com/office/drawing/2014/main" id="{1F85E36C-C8AF-430F-9714-60DE9960C17E}"/>
                </a:ext>
              </a:extLst>
            </xdr:cNvPr>
            <xdr:cNvSpPr txBox="1"/>
          </xdr:nvSpPr>
          <xdr:spPr>
            <a:xfrm>
              <a:off x="7914220" y="82143601"/>
              <a:ext cx="550333"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𝜇_0 𝑐</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455082</xdr:colOff>
      <xdr:row>302</xdr:row>
      <xdr:rowOff>70303</xdr:rowOff>
    </xdr:from>
    <xdr:ext cx="814918" cy="502920"/>
    <mc:AlternateContent xmlns:mc="http://schemas.openxmlformats.org/markup-compatibility/2006">
      <mc:Choice xmlns:a14="http://schemas.microsoft.com/office/drawing/2010/main" Requires="a14">
        <xdr:sp macro="" textlink="">
          <xdr:nvSpPr>
            <xdr:cNvPr id="51" name="TextBox 50">
              <a:extLst>
                <a:ext uri="{FF2B5EF4-FFF2-40B4-BE49-F238E27FC236}">
                  <a16:creationId xmlns:a16="http://schemas.microsoft.com/office/drawing/2014/main" id="{B53CC52C-9974-46AF-ACE6-C90C4EE93F69}"/>
                </a:ext>
              </a:extLst>
            </xdr:cNvPr>
            <xdr:cNvSpPr txBox="1"/>
          </xdr:nvSpPr>
          <xdr:spPr>
            <a:xfrm>
              <a:off x="7760757" y="87595528"/>
              <a:ext cx="81491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rad>
                      <m:radPr>
                        <m:degHide m:val="on"/>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sSup>
                              <m:sSup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𝑐</m:t>
                                </m:r>
                              </m:e>
                              <m:sup>
                                <m:r>
                                  <a:rPr lang="en-US" sz="1200" b="0" i="1">
                                    <a:solidFill>
                                      <a:schemeClr val="tx1">
                                        <a:lumMod val="75000"/>
                                        <a:lumOff val="25000"/>
                                      </a:schemeClr>
                                    </a:solidFill>
                                    <a:latin typeface="Cambria Math" panose="02040503050406030204" pitchFamily="18" charset="0"/>
                                    <a:ea typeface="Cambria Math" panose="02040503050406030204" pitchFamily="18" charset="0"/>
                                  </a:rPr>
                                  <m:t>4</m:t>
                                </m:r>
                              </m:sup>
                            </m:sSup>
                          </m:num>
                          <m:den>
                            <m:r>
                              <a:rPr lang="en-US" sz="1200" b="0" i="1">
                                <a:solidFill>
                                  <a:schemeClr val="tx1">
                                    <a:lumMod val="75000"/>
                                    <a:lumOff val="25000"/>
                                  </a:schemeClr>
                                </a:solidFill>
                                <a:latin typeface="Cambria Math" panose="02040503050406030204" pitchFamily="18" charset="0"/>
                                <a:ea typeface="Cambria Math" panose="02040503050406030204" pitchFamily="18" charset="0"/>
                              </a:rPr>
                              <m:t>4</m:t>
                            </m:r>
                            <m:r>
                              <a:rPr lang="en-US" sz="1200" b="0" i="1">
                                <a:solidFill>
                                  <a:schemeClr val="tx1">
                                    <a:lumMod val="75000"/>
                                    <a:lumOff val="25000"/>
                                  </a:schemeClr>
                                </a:solidFill>
                                <a:latin typeface="Cambria Math" panose="02040503050406030204" pitchFamily="18" charset="0"/>
                                <a:ea typeface="Cambria Math" panose="02040503050406030204" pitchFamily="18" charset="0"/>
                              </a:rPr>
                              <m:t>𝜋</m:t>
                            </m:r>
                            <m:sSub>
                              <m:sSub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𝜀</m:t>
                                </m:r>
                              </m:e>
                              <m:sub>
                                <m:r>
                                  <a:rPr lang="en-US" sz="1200" b="0" i="1">
                                    <a:solidFill>
                                      <a:schemeClr val="tx1">
                                        <a:lumMod val="75000"/>
                                        <a:lumOff val="25000"/>
                                      </a:schemeClr>
                                    </a:solidFill>
                                    <a:latin typeface="Cambria Math" panose="02040503050406030204" pitchFamily="18" charset="0"/>
                                    <a:ea typeface="Cambria Math" panose="02040503050406030204" pitchFamily="18" charset="0"/>
                                  </a:rPr>
                                  <m:t>0</m:t>
                                </m:r>
                              </m:sub>
                            </m:sSub>
                            <m:r>
                              <a:rPr lang="en-US" sz="1200" b="0" i="1">
                                <a:solidFill>
                                  <a:schemeClr val="tx1">
                                    <a:lumMod val="75000"/>
                                    <a:lumOff val="25000"/>
                                  </a:schemeClr>
                                </a:solidFill>
                                <a:latin typeface="Cambria Math" panose="02040503050406030204" pitchFamily="18" charset="0"/>
                                <a:ea typeface="Cambria Math" panose="02040503050406030204" pitchFamily="18" charset="0"/>
                              </a:rPr>
                              <m:t>𝐺</m:t>
                            </m:r>
                          </m:den>
                        </m:f>
                      </m:e>
                    </m:rad>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1" name="TextBox 50">
              <a:extLst>
                <a:ext uri="{FF2B5EF4-FFF2-40B4-BE49-F238E27FC236}">
                  <a16:creationId xmlns:a16="http://schemas.microsoft.com/office/drawing/2014/main" id="{B53CC52C-9974-46AF-ACE6-C90C4EE93F69}"/>
                </a:ext>
              </a:extLst>
            </xdr:cNvPr>
            <xdr:cNvSpPr txBox="1"/>
          </xdr:nvSpPr>
          <xdr:spPr>
            <a:xfrm>
              <a:off x="7760757" y="87595528"/>
              <a:ext cx="81491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√(𝑐^4/(4𝜋𝜀_0 𝐺))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512298</xdr:colOff>
      <xdr:row>303</xdr:row>
      <xdr:rowOff>69169</xdr:rowOff>
    </xdr:from>
    <xdr:ext cx="700486" cy="502920"/>
    <mc:AlternateContent xmlns:mc="http://schemas.openxmlformats.org/markup-compatibility/2006">
      <mc:Choice xmlns:a14="http://schemas.microsoft.com/office/drawing/2010/main" Requires="a14">
        <xdr:sp macro="" textlink="">
          <xdr:nvSpPr>
            <xdr:cNvPr id="52" name="TextBox 51">
              <a:extLst>
                <a:ext uri="{FF2B5EF4-FFF2-40B4-BE49-F238E27FC236}">
                  <a16:creationId xmlns:a16="http://schemas.microsoft.com/office/drawing/2014/main" id="{3BB7EDDC-88DD-4C58-80FB-29942ACF9BCA}"/>
                </a:ext>
              </a:extLst>
            </xdr:cNvPr>
            <xdr:cNvSpPr txBox="1"/>
          </xdr:nvSpPr>
          <xdr:spPr>
            <a:xfrm>
              <a:off x="7817973" y="88223044"/>
              <a:ext cx="70048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𝜀</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2" name="TextBox 51">
              <a:extLst>
                <a:ext uri="{FF2B5EF4-FFF2-40B4-BE49-F238E27FC236}">
                  <a16:creationId xmlns:a16="http://schemas.microsoft.com/office/drawing/2014/main" id="{3BB7EDDC-88DD-4C58-80FB-29942ACF9BCA}"/>
                </a:ext>
              </a:extLst>
            </xdr:cNvPr>
            <xdr:cNvSpPr txBox="1"/>
          </xdr:nvSpPr>
          <xdr:spPr>
            <a:xfrm>
              <a:off x="7817973" y="88223044"/>
              <a:ext cx="70048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1/(4𝜋𝜀_0 𝑐)</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444500</xdr:colOff>
      <xdr:row>304</xdr:row>
      <xdr:rowOff>68035</xdr:rowOff>
    </xdr:from>
    <xdr:ext cx="836082" cy="502920"/>
    <mc:AlternateContent xmlns:mc="http://schemas.openxmlformats.org/markup-compatibility/2006">
      <mc:Choice xmlns:a14="http://schemas.microsoft.com/office/drawing/2010/main" Requires="a14">
        <xdr:sp macro="" textlink="">
          <xdr:nvSpPr>
            <xdr:cNvPr id="53" name="TextBox 52">
              <a:extLst>
                <a:ext uri="{FF2B5EF4-FFF2-40B4-BE49-F238E27FC236}">
                  <a16:creationId xmlns:a16="http://schemas.microsoft.com/office/drawing/2014/main" id="{BCFCDF51-0801-4425-92E0-602723F9F7A2}"/>
                </a:ext>
              </a:extLst>
            </xdr:cNvPr>
            <xdr:cNvSpPr txBox="1"/>
          </xdr:nvSpPr>
          <xdr:spPr>
            <a:xfrm>
              <a:off x="7750175" y="88850560"/>
              <a:ext cx="836082"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𝜀</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den>
                    </m:f>
                    <m:rad>
                      <m:radPr>
                        <m:degHide m:val="on"/>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radPr>
                      <m:deg/>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𝐺</m:t>
                            </m:r>
                          </m:num>
                          <m:den>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7</m:t>
                                </m:r>
                              </m:sup>
                            </m:sSup>
                          </m:den>
                        </m:f>
                      </m:e>
                    </m:ra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3" name="TextBox 52">
              <a:extLst>
                <a:ext uri="{FF2B5EF4-FFF2-40B4-BE49-F238E27FC236}">
                  <a16:creationId xmlns:a16="http://schemas.microsoft.com/office/drawing/2014/main" id="{BCFCDF51-0801-4425-92E0-602723F9F7A2}"/>
                </a:ext>
              </a:extLst>
            </xdr:cNvPr>
            <xdr:cNvSpPr txBox="1"/>
          </xdr:nvSpPr>
          <xdr:spPr>
            <a:xfrm>
              <a:off x="7750175" y="88850560"/>
              <a:ext cx="836082"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1/(4𝜋𝜀_0 ) √(ℏ𝐺/𝑐^7 )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420687</xdr:colOff>
      <xdr:row>305</xdr:row>
      <xdr:rowOff>66901</xdr:rowOff>
    </xdr:from>
    <xdr:ext cx="883709" cy="502920"/>
    <mc:AlternateContent xmlns:mc="http://schemas.openxmlformats.org/markup-compatibility/2006">
      <mc:Choice xmlns:a14="http://schemas.microsoft.com/office/drawing/2010/main" Requires="a14">
        <xdr:sp macro="" textlink="">
          <xdr:nvSpPr>
            <xdr:cNvPr id="54" name="TextBox 53">
              <a:extLst>
                <a:ext uri="{FF2B5EF4-FFF2-40B4-BE49-F238E27FC236}">
                  <a16:creationId xmlns:a16="http://schemas.microsoft.com/office/drawing/2014/main" id="{022484F3-35CC-42AB-83B3-18CC10C84172}"/>
                </a:ext>
              </a:extLst>
            </xdr:cNvPr>
            <xdr:cNvSpPr txBox="1"/>
          </xdr:nvSpPr>
          <xdr:spPr>
            <a:xfrm>
              <a:off x="7726362" y="89478076"/>
              <a:ext cx="883709"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rad>
                      <m:radPr>
                        <m:degHide m:val="on"/>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sSup>
                              <m:sSup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𝑐</m:t>
                                </m:r>
                              </m:e>
                              <m:sup>
                                <m:r>
                                  <a:rPr lang="en-US" sz="1200" b="0" i="1">
                                    <a:solidFill>
                                      <a:schemeClr val="tx1">
                                        <a:lumMod val="75000"/>
                                        <a:lumOff val="25000"/>
                                      </a:schemeClr>
                                    </a:solidFill>
                                    <a:latin typeface="Cambria Math" panose="02040503050406030204" pitchFamily="18" charset="0"/>
                                    <a:ea typeface="Cambria Math" panose="02040503050406030204" pitchFamily="18" charset="0"/>
                                  </a:rPr>
                                  <m:t>5</m:t>
                                </m:r>
                              </m:sup>
                            </m:sSup>
                          </m:num>
                          <m:den>
                            <m:r>
                              <a:rPr lang="en-US" sz="1200" b="0" i="1">
                                <a:solidFill>
                                  <a:schemeClr val="tx1">
                                    <a:lumMod val="75000"/>
                                    <a:lumOff val="25000"/>
                                  </a:schemeClr>
                                </a:solidFill>
                                <a:latin typeface="Cambria Math" panose="02040503050406030204" pitchFamily="18" charset="0"/>
                                <a:ea typeface="Cambria Math" panose="02040503050406030204" pitchFamily="18" charset="0"/>
                              </a:rPr>
                              <m:t>4</m:t>
                            </m:r>
                            <m:r>
                              <a:rPr lang="en-US" sz="1200" b="0" i="1">
                                <a:solidFill>
                                  <a:schemeClr val="tx1">
                                    <a:lumMod val="75000"/>
                                    <a:lumOff val="25000"/>
                                  </a:schemeClr>
                                </a:solidFill>
                                <a:latin typeface="Cambria Math" panose="02040503050406030204" pitchFamily="18" charset="0"/>
                                <a:ea typeface="Cambria Math" panose="02040503050406030204" pitchFamily="18" charset="0"/>
                              </a:rPr>
                              <m:t>𝜋</m:t>
                            </m:r>
                            <m:sSub>
                              <m:sSub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𝜀</m:t>
                                </m:r>
                              </m:e>
                              <m:sub>
                                <m:r>
                                  <a:rPr lang="en-US" sz="1200" b="0" i="1">
                                    <a:solidFill>
                                      <a:schemeClr val="tx1">
                                        <a:lumMod val="75000"/>
                                        <a:lumOff val="25000"/>
                                      </a:schemeClr>
                                    </a:solidFill>
                                    <a:latin typeface="Cambria Math" panose="02040503050406030204" pitchFamily="18" charset="0"/>
                                    <a:ea typeface="Cambria Math" panose="02040503050406030204" pitchFamily="18" charset="0"/>
                                  </a:rPr>
                                  <m:t>0</m:t>
                                </m:r>
                              </m:sub>
                            </m:s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sSup>
                              <m:sSup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𝐺</m:t>
                                </m:r>
                              </m:e>
                              <m:sup>
                                <m:r>
                                  <a:rPr lang="en-US" sz="1200" b="0" i="1">
                                    <a:solidFill>
                                      <a:schemeClr val="tx1">
                                        <a:lumMod val="75000"/>
                                        <a:lumOff val="25000"/>
                                      </a:schemeClr>
                                    </a:solidFill>
                                    <a:latin typeface="Cambria Math" panose="02040503050406030204" pitchFamily="18" charset="0"/>
                                    <a:ea typeface="Cambria Math" panose="02040503050406030204" pitchFamily="18" charset="0"/>
                                  </a:rPr>
                                  <m:t>2</m:t>
                                </m:r>
                              </m:sup>
                            </m:sSup>
                          </m:den>
                        </m:f>
                      </m:e>
                    </m:rad>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4" name="TextBox 53">
              <a:extLst>
                <a:ext uri="{FF2B5EF4-FFF2-40B4-BE49-F238E27FC236}">
                  <a16:creationId xmlns:a16="http://schemas.microsoft.com/office/drawing/2014/main" id="{022484F3-35CC-42AB-83B3-18CC10C84172}"/>
                </a:ext>
              </a:extLst>
            </xdr:cNvPr>
            <xdr:cNvSpPr txBox="1"/>
          </xdr:nvSpPr>
          <xdr:spPr>
            <a:xfrm>
              <a:off x="7726362" y="89478076"/>
              <a:ext cx="883709"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√(𝑐^5/(4𝜋𝜀_0</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ℏ</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𝐺^2 ))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508000</xdr:colOff>
      <xdr:row>306</xdr:row>
      <xdr:rowOff>65766</xdr:rowOff>
    </xdr:from>
    <xdr:ext cx="709083" cy="502920"/>
    <mc:AlternateContent xmlns:mc="http://schemas.openxmlformats.org/markup-compatibility/2006">
      <mc:Choice xmlns:a14="http://schemas.microsoft.com/office/drawing/2010/main" Requires="a14">
        <xdr:sp macro="" textlink="">
          <xdr:nvSpPr>
            <xdr:cNvPr id="55" name="TextBox 54">
              <a:extLst>
                <a:ext uri="{FF2B5EF4-FFF2-40B4-BE49-F238E27FC236}">
                  <a16:creationId xmlns:a16="http://schemas.microsoft.com/office/drawing/2014/main" id="{BD90C9F8-3C54-478C-BEBE-14EBEA5B668F}"/>
                </a:ext>
              </a:extLst>
            </xdr:cNvPr>
            <xdr:cNvSpPr txBox="1"/>
          </xdr:nvSpPr>
          <xdr:spPr>
            <a:xfrm>
              <a:off x="7813675" y="90105591"/>
              <a:ext cx="7090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4</m:t>
                    </m:r>
                    <m:r>
                      <a:rPr lang="en-US" sz="1200" b="0" i="1">
                        <a:solidFill>
                          <a:schemeClr val="tx1">
                            <a:lumMod val="75000"/>
                            <a:lumOff val="25000"/>
                          </a:schemeClr>
                        </a:solidFill>
                        <a:latin typeface="Cambria Math" panose="02040503050406030204" pitchFamily="18" charset="0"/>
                        <a:ea typeface="Cambria Math" panose="02040503050406030204" pitchFamily="18" charset="0"/>
                      </a:rPr>
                      <m:t>𝜋</m:t>
                    </m:r>
                    <m:sSub>
                      <m:sSub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𝜀</m:t>
                        </m:r>
                      </m:e>
                      <m:sub>
                        <m:r>
                          <a:rPr lang="en-US" sz="1200" b="0" i="1">
                            <a:solidFill>
                              <a:schemeClr val="tx1">
                                <a:lumMod val="75000"/>
                                <a:lumOff val="25000"/>
                              </a:schemeClr>
                            </a:solidFill>
                            <a:latin typeface="Cambria Math" panose="02040503050406030204" pitchFamily="18" charset="0"/>
                            <a:ea typeface="Cambria Math" panose="02040503050406030204" pitchFamily="18" charset="0"/>
                          </a:rPr>
                          <m:t>0</m:t>
                        </m:r>
                      </m:sub>
                    </m:sSub>
                    <m:r>
                      <a:rPr lang="en-US" sz="1200" b="0" i="1">
                        <a:solidFill>
                          <a:schemeClr val="tx1">
                            <a:lumMod val="75000"/>
                            <a:lumOff val="25000"/>
                          </a:schemeClr>
                        </a:solidFill>
                        <a:latin typeface="Cambria Math" panose="02040503050406030204" pitchFamily="18" charset="0"/>
                        <a:ea typeface="Cambria Math" panose="02040503050406030204" pitchFamily="18" charset="0"/>
                      </a:rPr>
                      <m:t>𝑐</m:t>
                    </m:r>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5" name="TextBox 54">
              <a:extLst>
                <a:ext uri="{FF2B5EF4-FFF2-40B4-BE49-F238E27FC236}">
                  <a16:creationId xmlns:a16="http://schemas.microsoft.com/office/drawing/2014/main" id="{BD90C9F8-3C54-478C-BEBE-14EBEA5B668F}"/>
                </a:ext>
              </a:extLst>
            </xdr:cNvPr>
            <xdr:cNvSpPr txBox="1"/>
          </xdr:nvSpPr>
          <xdr:spPr>
            <a:xfrm>
              <a:off x="7813675" y="90105591"/>
              <a:ext cx="7090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4𝜋𝜀_0 𝑐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420688</xdr:colOff>
      <xdr:row>307</xdr:row>
      <xdr:rowOff>64632</xdr:rowOff>
    </xdr:from>
    <xdr:ext cx="883707" cy="502920"/>
    <mc:AlternateContent xmlns:mc="http://schemas.openxmlformats.org/markup-compatibility/2006">
      <mc:Choice xmlns:a14="http://schemas.microsoft.com/office/drawing/2010/main" Requires="a14">
        <xdr:sp macro="" textlink="">
          <xdr:nvSpPr>
            <xdr:cNvPr id="56" name="TextBox 55">
              <a:extLst>
                <a:ext uri="{FF2B5EF4-FFF2-40B4-BE49-F238E27FC236}">
                  <a16:creationId xmlns:a16="http://schemas.microsoft.com/office/drawing/2014/main" id="{45FFE4E4-F9BF-4CDC-8108-4D6EA8897FD3}"/>
                </a:ext>
              </a:extLst>
            </xdr:cNvPr>
            <xdr:cNvSpPr txBox="1"/>
          </xdr:nvSpPr>
          <xdr:spPr>
            <a:xfrm>
              <a:off x="7726363" y="90733107"/>
              <a:ext cx="88370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4</m:t>
                    </m:r>
                    <m:r>
                      <a:rPr lang="en-US" sz="1200" b="0" i="1">
                        <a:solidFill>
                          <a:schemeClr val="tx1">
                            <a:lumMod val="75000"/>
                            <a:lumOff val="25000"/>
                          </a:schemeClr>
                        </a:solidFill>
                        <a:latin typeface="Cambria Math" panose="02040503050406030204" pitchFamily="18" charset="0"/>
                        <a:ea typeface="Cambria Math" panose="02040503050406030204" pitchFamily="18" charset="0"/>
                      </a:rPr>
                      <m:t>𝜋</m:t>
                    </m:r>
                    <m:sSub>
                      <m:sSub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𝜀</m:t>
                        </m:r>
                      </m:e>
                      <m:sub>
                        <m:r>
                          <a:rPr lang="en-US" sz="1200" b="0" i="1">
                            <a:solidFill>
                              <a:schemeClr val="tx1">
                                <a:lumMod val="75000"/>
                                <a:lumOff val="25000"/>
                              </a:schemeClr>
                            </a:solidFill>
                            <a:latin typeface="Cambria Math" panose="02040503050406030204" pitchFamily="18" charset="0"/>
                            <a:ea typeface="Cambria Math" panose="02040503050406030204" pitchFamily="18" charset="0"/>
                          </a:rPr>
                          <m:t>0</m:t>
                        </m:r>
                      </m:sub>
                    </m:sSub>
                    <m:rad>
                      <m:radPr>
                        <m:degHide m:val="on"/>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200" b="0" i="1">
                                <a:solidFill>
                                  <a:schemeClr val="tx1">
                                    <a:lumMod val="75000"/>
                                    <a:lumOff val="25000"/>
                                  </a:schemeClr>
                                </a:solidFill>
                                <a:latin typeface="Cambria Math" panose="02040503050406030204" pitchFamily="18" charset="0"/>
                                <a:ea typeface="Cambria Math" panose="02040503050406030204" pitchFamily="18" charset="0"/>
                              </a:rPr>
                              <m:t>ℏ</m:t>
                            </m:r>
                            <m:r>
                              <a:rPr lang="en-US" sz="1200" b="0" i="1">
                                <a:solidFill>
                                  <a:schemeClr val="tx1">
                                    <a:lumMod val="75000"/>
                                    <a:lumOff val="25000"/>
                                  </a:schemeClr>
                                </a:solidFill>
                                <a:latin typeface="Cambria Math" panose="02040503050406030204" pitchFamily="18" charset="0"/>
                                <a:ea typeface="Cambria Math" panose="02040503050406030204" pitchFamily="18" charset="0"/>
                              </a:rPr>
                              <m:t>𝐺</m:t>
                            </m:r>
                          </m:num>
                          <m:den>
                            <m:sSup>
                              <m:sSup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𝑐</m:t>
                                </m:r>
                              </m:e>
                              <m:sup>
                                <m:r>
                                  <a:rPr lang="en-US" sz="1200" b="0" i="1">
                                    <a:solidFill>
                                      <a:schemeClr val="tx1">
                                        <a:lumMod val="75000"/>
                                        <a:lumOff val="25000"/>
                                      </a:schemeClr>
                                    </a:solidFill>
                                    <a:latin typeface="Cambria Math" panose="02040503050406030204" pitchFamily="18" charset="0"/>
                                    <a:ea typeface="Cambria Math" panose="02040503050406030204" pitchFamily="18" charset="0"/>
                                  </a:rPr>
                                  <m:t>3</m:t>
                                </m:r>
                              </m:sup>
                            </m:sSup>
                          </m:den>
                        </m:f>
                      </m:e>
                    </m:rad>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6" name="TextBox 55">
              <a:extLst>
                <a:ext uri="{FF2B5EF4-FFF2-40B4-BE49-F238E27FC236}">
                  <a16:creationId xmlns:a16="http://schemas.microsoft.com/office/drawing/2014/main" id="{45FFE4E4-F9BF-4CDC-8108-4D6EA8897FD3}"/>
                </a:ext>
              </a:extLst>
            </xdr:cNvPr>
            <xdr:cNvSpPr txBox="1"/>
          </xdr:nvSpPr>
          <xdr:spPr>
            <a:xfrm>
              <a:off x="7726363" y="90733107"/>
              <a:ext cx="88370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4𝜋𝜀_0 √(ℏ𝐺/𝑐^3 )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468313</xdr:colOff>
      <xdr:row>308</xdr:row>
      <xdr:rowOff>63497</xdr:rowOff>
    </xdr:from>
    <xdr:ext cx="788456" cy="502920"/>
    <mc:AlternateContent xmlns:mc="http://schemas.openxmlformats.org/markup-compatibility/2006">
      <mc:Choice xmlns:a14="http://schemas.microsoft.com/office/drawing/2010/main" Requires="a14">
        <xdr:sp macro="" textlink="">
          <xdr:nvSpPr>
            <xdr:cNvPr id="57" name="TextBox 56">
              <a:extLst>
                <a:ext uri="{FF2B5EF4-FFF2-40B4-BE49-F238E27FC236}">
                  <a16:creationId xmlns:a16="http://schemas.microsoft.com/office/drawing/2014/main" id="{EE8D06C8-4674-46FE-B812-9E5D5A022832}"/>
                </a:ext>
              </a:extLst>
            </xdr:cNvPr>
            <xdr:cNvSpPr txBox="1"/>
          </xdr:nvSpPr>
          <xdr:spPr>
            <a:xfrm>
              <a:off x="7773988" y="91360622"/>
              <a:ext cx="78845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rad>
                      <m:radPr>
                        <m:degHide m:val="on"/>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200" b="0" i="1">
                                <a:solidFill>
                                  <a:schemeClr val="tx1">
                                    <a:lumMod val="75000"/>
                                    <a:lumOff val="25000"/>
                                  </a:schemeClr>
                                </a:solidFill>
                                <a:latin typeface="Cambria Math" panose="02040503050406030204" pitchFamily="18" charset="0"/>
                                <a:ea typeface="Cambria Math" panose="02040503050406030204" pitchFamily="18" charset="0"/>
                              </a:rPr>
                              <m:t>ℏ</m:t>
                            </m:r>
                          </m:num>
                          <m:den>
                            <m:r>
                              <a:rPr lang="en-US" sz="1200" b="0" i="1">
                                <a:solidFill>
                                  <a:schemeClr val="tx1">
                                    <a:lumMod val="75000"/>
                                    <a:lumOff val="25000"/>
                                  </a:schemeClr>
                                </a:solidFill>
                                <a:latin typeface="Cambria Math" panose="02040503050406030204" pitchFamily="18" charset="0"/>
                                <a:ea typeface="Cambria Math" panose="02040503050406030204" pitchFamily="18" charset="0"/>
                              </a:rPr>
                              <m:t>4</m:t>
                            </m:r>
                            <m:r>
                              <a:rPr lang="en-US" sz="1200" b="0" i="1">
                                <a:solidFill>
                                  <a:schemeClr val="tx1">
                                    <a:lumMod val="75000"/>
                                    <a:lumOff val="25000"/>
                                  </a:schemeClr>
                                </a:solidFill>
                                <a:latin typeface="Cambria Math" panose="02040503050406030204" pitchFamily="18" charset="0"/>
                                <a:ea typeface="Cambria Math" panose="02040503050406030204" pitchFamily="18" charset="0"/>
                              </a:rPr>
                              <m:t>𝜋</m:t>
                            </m:r>
                            <m:sSub>
                              <m:sSub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𝜀</m:t>
                                </m:r>
                              </m:e>
                              <m:sub>
                                <m:r>
                                  <a:rPr lang="en-US" sz="1200" b="0" i="1">
                                    <a:solidFill>
                                      <a:schemeClr val="tx1">
                                        <a:lumMod val="75000"/>
                                        <a:lumOff val="25000"/>
                                      </a:schemeClr>
                                    </a:solidFill>
                                    <a:latin typeface="Cambria Math" panose="02040503050406030204" pitchFamily="18" charset="0"/>
                                    <a:ea typeface="Cambria Math" panose="02040503050406030204" pitchFamily="18" charset="0"/>
                                  </a:rPr>
                                  <m:t>0</m:t>
                                </m:r>
                              </m:sub>
                            </m:sSub>
                            <m:r>
                              <a:rPr lang="en-US" sz="1200" b="0" i="1">
                                <a:solidFill>
                                  <a:schemeClr val="tx1">
                                    <a:lumMod val="75000"/>
                                    <a:lumOff val="25000"/>
                                  </a:schemeClr>
                                </a:solidFill>
                                <a:latin typeface="Cambria Math" panose="02040503050406030204" pitchFamily="18" charset="0"/>
                                <a:ea typeface="Cambria Math" panose="02040503050406030204" pitchFamily="18" charset="0"/>
                              </a:rPr>
                              <m:t>𝑐</m:t>
                            </m:r>
                          </m:den>
                        </m:f>
                      </m:e>
                    </m:rad>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57" name="TextBox 56">
              <a:extLst>
                <a:ext uri="{FF2B5EF4-FFF2-40B4-BE49-F238E27FC236}">
                  <a16:creationId xmlns:a16="http://schemas.microsoft.com/office/drawing/2014/main" id="{EE8D06C8-4674-46FE-B812-9E5D5A022832}"/>
                </a:ext>
              </a:extLst>
            </xdr:cNvPr>
            <xdr:cNvSpPr txBox="1"/>
          </xdr:nvSpPr>
          <xdr:spPr>
            <a:xfrm>
              <a:off x="7773988" y="91360622"/>
              <a:ext cx="78845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√(ℏ/(4𝜋𝜀_0 𝑐))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656167</xdr:colOff>
      <xdr:row>205</xdr:row>
      <xdr:rowOff>137583</xdr:rowOff>
    </xdr:from>
    <xdr:ext cx="582082" cy="560917"/>
    <mc:AlternateContent xmlns:mc="http://schemas.openxmlformats.org/markup-compatibility/2006">
      <mc:Choice xmlns:a14="http://schemas.microsoft.com/office/drawing/2010/main" Requires="a14">
        <xdr:sp macro="" textlink="">
          <xdr:nvSpPr>
            <xdr:cNvPr id="58" name="TextBox 57">
              <a:extLst>
                <a:ext uri="{FF2B5EF4-FFF2-40B4-BE49-F238E27FC236}">
                  <a16:creationId xmlns:a16="http://schemas.microsoft.com/office/drawing/2014/main" id="{EE39778B-94BF-4AEB-91CA-DE1A99B6D29F}"/>
                </a:ext>
              </a:extLst>
            </xdr:cNvPr>
            <xdr:cNvSpPr txBox="1"/>
          </xdr:nvSpPr>
          <xdr:spPr>
            <a:xfrm>
              <a:off x="7961842" y="57192333"/>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bg1"/>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fPr>
                      <m:num>
                        <m:r>
                          <m:rPr>
                            <m:sty m:val="p"/>
                          </m:rPr>
                          <a:rPr lang="el-GR" sz="1400" b="0" i="1" baseline="0">
                            <a:solidFill>
                              <a:schemeClr val="bg1"/>
                            </a:solidFill>
                            <a:effectLst/>
                            <a:latin typeface="Cambria Math" panose="02040503050406030204" pitchFamily="18" charset="0"/>
                            <a:ea typeface="Cambria Math" panose="02040503050406030204" pitchFamily="18" charset="0"/>
                            <a:cs typeface="+mn-cs"/>
                          </a:rPr>
                          <m:t>τ</m:t>
                        </m:r>
                      </m:num>
                      <m:den>
                        <m:sSub>
                          <m:sSub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sSubPr>
                          <m:e>
                            <m:r>
                              <m:rPr>
                                <m:sty m:val="p"/>
                              </m:rPr>
                              <a:rPr lang="el-GR" sz="1400" b="0" i="1" baseline="0">
                                <a:solidFill>
                                  <a:schemeClr val="bg1"/>
                                </a:solidFill>
                                <a:effectLst/>
                                <a:latin typeface="Cambria Math" panose="02040503050406030204" pitchFamily="18" charset="0"/>
                                <a:ea typeface="Cambria Math" panose="02040503050406030204" pitchFamily="18" charset="0"/>
                                <a:cs typeface="+mn-cs"/>
                              </a:rPr>
                              <m:t>τ</m:t>
                            </m:r>
                          </m:e>
                          <m:sub>
                            <m:r>
                              <a:rPr lang="en-US" sz="1400" b="0" i="1" baseline="0">
                                <a:solidFill>
                                  <a:schemeClr val="bg1"/>
                                </a:solidFill>
                                <a:effectLst/>
                                <a:latin typeface="Cambria Math" panose="02040503050406030204" pitchFamily="18" charset="0"/>
                                <a:ea typeface="Cambria Math" panose="02040503050406030204" pitchFamily="18" charset="0"/>
                                <a:cs typeface="+mn-cs"/>
                              </a:rPr>
                              <m:t>𝐶</m:t>
                            </m:r>
                          </m:sub>
                        </m:sSub>
                      </m:den>
                    </m:f>
                    <m:r>
                      <a:rPr lang="en-US" sz="1400" b="0" i="1" baseline="0">
                        <a:solidFill>
                          <a:schemeClr val="bg1"/>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58" name="TextBox 57">
              <a:extLst>
                <a:ext uri="{FF2B5EF4-FFF2-40B4-BE49-F238E27FC236}">
                  <a16:creationId xmlns:a16="http://schemas.microsoft.com/office/drawing/2014/main" id="{EE39778B-94BF-4AEB-91CA-DE1A99B6D29F}"/>
                </a:ext>
              </a:extLst>
            </xdr:cNvPr>
            <xdr:cNvSpPr txBox="1"/>
          </xdr:nvSpPr>
          <xdr:spPr>
            <a:xfrm>
              <a:off x="7961842" y="57192333"/>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bg1"/>
                  </a:solidFill>
                  <a:effectLst/>
                  <a:latin typeface="Cambria Math" panose="02040503050406030204" pitchFamily="18" charset="0"/>
                  <a:ea typeface="Cambria Math" panose="02040503050406030204" pitchFamily="18" charset="0"/>
                  <a:cs typeface="+mn-cs"/>
                </a:rPr>
                <a:t> </a:t>
              </a:r>
              <a:r>
                <a:rPr lang="el-GR" sz="1400" b="0" i="0" baseline="0">
                  <a:solidFill>
                    <a:schemeClr val="bg1"/>
                  </a:solidFill>
                  <a:effectLst/>
                  <a:latin typeface="Cambria Math" panose="02040503050406030204" pitchFamily="18" charset="0"/>
                  <a:ea typeface="Cambria Math" panose="02040503050406030204" pitchFamily="18" charset="0"/>
                  <a:cs typeface="+mn-cs"/>
                </a:rPr>
                <a:t> τ</a:t>
              </a:r>
              <a:r>
                <a:rPr lang="en-US" sz="1400" b="0" i="0" baseline="0">
                  <a:solidFill>
                    <a:schemeClr val="bg1"/>
                  </a:solidFill>
                  <a:effectLst/>
                  <a:latin typeface="Cambria Math" panose="02040503050406030204" pitchFamily="18" charset="0"/>
                  <a:ea typeface="Cambria Math" panose="02040503050406030204" pitchFamily="18" charset="0"/>
                  <a:cs typeface="+mn-cs"/>
                </a:rPr>
                <a:t>/</a:t>
              </a:r>
              <a:r>
                <a:rPr lang="el-GR" sz="1400" b="0" i="0" baseline="0">
                  <a:solidFill>
                    <a:schemeClr val="bg1"/>
                  </a:solidFill>
                  <a:effectLst/>
                  <a:latin typeface="Cambria Math" panose="02040503050406030204" pitchFamily="18" charset="0"/>
                  <a:ea typeface="Cambria Math" panose="02040503050406030204" pitchFamily="18" charset="0"/>
                  <a:cs typeface="+mn-cs"/>
                </a:rPr>
                <a:t>τ</a:t>
              </a:r>
              <a:r>
                <a:rPr lang="en-US" sz="1400" b="0" i="0" baseline="0">
                  <a:solidFill>
                    <a:schemeClr val="bg1"/>
                  </a:solidFill>
                  <a:effectLst/>
                  <a:latin typeface="Cambria Math" panose="02040503050406030204" pitchFamily="18" charset="0"/>
                  <a:ea typeface="Cambria Math" panose="02040503050406030204" pitchFamily="18" charset="0"/>
                  <a:cs typeface="+mn-cs"/>
                </a:rPr>
                <a:t>_𝐶   </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723901</xdr:colOff>
      <xdr:row>205</xdr:row>
      <xdr:rowOff>110067</xdr:rowOff>
    </xdr:from>
    <xdr:ext cx="503766" cy="560917"/>
    <mc:AlternateContent xmlns:mc="http://schemas.openxmlformats.org/markup-compatibility/2006">
      <mc:Choice xmlns:a14="http://schemas.microsoft.com/office/drawing/2010/main" Requires="a14">
        <xdr:sp macro="" textlink="">
          <xdr:nvSpPr>
            <xdr:cNvPr id="59" name="TextBox 58">
              <a:extLst>
                <a:ext uri="{FF2B5EF4-FFF2-40B4-BE49-F238E27FC236}">
                  <a16:creationId xmlns:a16="http://schemas.microsoft.com/office/drawing/2014/main" id="{2804616E-3627-49ED-9348-3BF34BCC632F}"/>
                </a:ext>
              </a:extLst>
            </xdr:cNvPr>
            <xdr:cNvSpPr txBox="1"/>
          </xdr:nvSpPr>
          <xdr:spPr>
            <a:xfrm>
              <a:off x="11458576" y="57164817"/>
              <a:ext cx="503766"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sSup>
                      <m:sSup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sSupPr>
                      <m:e>
                        <m:d>
                          <m:d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bg1"/>
                                    </a:solidFill>
                                    <a:effectLst/>
                                    <a:latin typeface="Cambria Math" panose="02040503050406030204" pitchFamily="18" charset="0"/>
                                    <a:ea typeface="Cambria Math" panose="02040503050406030204" pitchFamily="18" charset="0"/>
                                    <a:cs typeface="+mn-cs"/>
                                  </a:rPr>
                                  <m:t>𝑣</m:t>
                                </m:r>
                              </m:num>
                              <m:den>
                                <m:r>
                                  <a:rPr lang="en-US" sz="1400" b="0" i="1" baseline="0">
                                    <a:solidFill>
                                      <a:schemeClr val="bg1"/>
                                    </a:solidFill>
                                    <a:effectLst/>
                                    <a:latin typeface="Cambria Math" panose="02040503050406030204" pitchFamily="18" charset="0"/>
                                    <a:ea typeface="Cambria Math" panose="02040503050406030204" pitchFamily="18" charset="0"/>
                                    <a:cs typeface="+mn-cs"/>
                                  </a:rPr>
                                  <m:t>𝑐</m:t>
                                </m:r>
                              </m:den>
                            </m:f>
                          </m:e>
                        </m:d>
                      </m:e>
                      <m:sup>
                        <m:r>
                          <a:rPr lang="en-US" sz="1400" b="0" i="1" baseline="0">
                            <a:solidFill>
                              <a:schemeClr val="bg1"/>
                            </a:solidFill>
                            <a:effectLst/>
                            <a:latin typeface="Cambria Math" panose="02040503050406030204" pitchFamily="18" charset="0"/>
                            <a:ea typeface="Cambria Math" panose="02040503050406030204" pitchFamily="18" charset="0"/>
                            <a:cs typeface="+mn-cs"/>
                          </a:rPr>
                          <m:t>2</m:t>
                        </m:r>
                      </m:sup>
                    </m:sSup>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59" name="TextBox 58">
              <a:extLst>
                <a:ext uri="{FF2B5EF4-FFF2-40B4-BE49-F238E27FC236}">
                  <a16:creationId xmlns:a16="http://schemas.microsoft.com/office/drawing/2014/main" id="{2804616E-3627-49ED-9348-3BF34BCC632F}"/>
                </a:ext>
              </a:extLst>
            </xdr:cNvPr>
            <xdr:cNvSpPr txBox="1"/>
          </xdr:nvSpPr>
          <xdr:spPr>
            <a:xfrm>
              <a:off x="11458576" y="57164817"/>
              <a:ext cx="503766"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bg1"/>
                  </a:solidFill>
                  <a:effectLst/>
                  <a:latin typeface="Cambria Math" panose="02040503050406030204" pitchFamily="18" charset="0"/>
                  <a:ea typeface="Cambria Math" panose="02040503050406030204" pitchFamily="18" charset="0"/>
                  <a:cs typeface="+mn-cs"/>
                </a:rPr>
                <a:t>(𝑣/𝑐)^2</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624416</xdr:colOff>
      <xdr:row>205</xdr:row>
      <xdr:rowOff>126999</xdr:rowOff>
    </xdr:from>
    <xdr:ext cx="582082" cy="560917"/>
    <mc:AlternateContent xmlns:mc="http://schemas.openxmlformats.org/markup-compatibility/2006">
      <mc:Choice xmlns:a14="http://schemas.microsoft.com/office/drawing/2010/main" Requires="a14">
        <xdr:sp macro="" textlink="">
          <xdr:nvSpPr>
            <xdr:cNvPr id="60" name="TextBox 59">
              <a:extLst>
                <a:ext uri="{FF2B5EF4-FFF2-40B4-BE49-F238E27FC236}">
                  <a16:creationId xmlns:a16="http://schemas.microsoft.com/office/drawing/2014/main" id="{3DFB81B5-EE76-42FC-AAFB-0F7CF3BD4CF9}"/>
                </a:ext>
              </a:extLst>
            </xdr:cNvPr>
            <xdr:cNvSpPr txBox="1"/>
          </xdr:nvSpPr>
          <xdr:spPr>
            <a:xfrm>
              <a:off x="13073591" y="57181749"/>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bg1"/>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bg1"/>
                            </a:solidFill>
                            <a:effectLst/>
                            <a:latin typeface="Cambria Math" panose="02040503050406030204" pitchFamily="18" charset="0"/>
                            <a:ea typeface="Cambria Math" panose="02040503050406030204" pitchFamily="18" charset="0"/>
                            <a:cs typeface="+mn-cs"/>
                          </a:rPr>
                          <m:t>𝐸</m:t>
                        </m:r>
                      </m:num>
                      <m:den>
                        <m:sSub>
                          <m:sSub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bg1"/>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bg1"/>
                                </a:solidFill>
                                <a:effectLst/>
                                <a:latin typeface="Cambria Math" panose="02040503050406030204" pitchFamily="18" charset="0"/>
                                <a:ea typeface="Cambria Math" panose="02040503050406030204" pitchFamily="18" charset="0"/>
                                <a:cs typeface="+mn-cs"/>
                              </a:rPr>
                              <m:t>0</m:t>
                            </m:r>
                          </m:sub>
                        </m:sSub>
                        <m:sSup>
                          <m:sSup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sSupPr>
                          <m:e>
                            <m:r>
                              <a:rPr lang="en-US" sz="1400" b="0" i="1" baseline="0">
                                <a:solidFill>
                                  <a:schemeClr val="bg1"/>
                                </a:solidFill>
                                <a:effectLst/>
                                <a:latin typeface="Cambria Math" panose="02040503050406030204" pitchFamily="18" charset="0"/>
                                <a:ea typeface="Cambria Math" panose="02040503050406030204" pitchFamily="18" charset="0"/>
                                <a:cs typeface="+mn-cs"/>
                              </a:rPr>
                              <m:t>𝑐</m:t>
                            </m:r>
                          </m:e>
                          <m:sup>
                            <m:r>
                              <a:rPr lang="en-US" sz="1400" b="0" i="1" baseline="0">
                                <a:solidFill>
                                  <a:schemeClr val="bg1"/>
                                </a:solidFill>
                                <a:effectLst/>
                                <a:latin typeface="Cambria Math" panose="02040503050406030204" pitchFamily="18" charset="0"/>
                                <a:ea typeface="Cambria Math" panose="02040503050406030204" pitchFamily="18" charset="0"/>
                                <a:cs typeface="+mn-cs"/>
                              </a:rPr>
                              <m:t>2</m:t>
                            </m:r>
                          </m:sup>
                        </m:sSup>
                      </m:den>
                    </m:f>
                    <m:r>
                      <a:rPr lang="en-US" sz="1400" b="0" i="1" baseline="0">
                        <a:solidFill>
                          <a:schemeClr val="bg1"/>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60" name="TextBox 59">
              <a:extLst>
                <a:ext uri="{FF2B5EF4-FFF2-40B4-BE49-F238E27FC236}">
                  <a16:creationId xmlns:a16="http://schemas.microsoft.com/office/drawing/2014/main" id="{3DFB81B5-EE76-42FC-AAFB-0F7CF3BD4CF9}"/>
                </a:ext>
              </a:extLst>
            </xdr:cNvPr>
            <xdr:cNvSpPr txBox="1"/>
          </xdr:nvSpPr>
          <xdr:spPr>
            <a:xfrm>
              <a:off x="13073591" y="57181749"/>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bg1"/>
                  </a:solidFill>
                  <a:effectLst/>
                  <a:latin typeface="Cambria Math" panose="02040503050406030204" pitchFamily="18" charset="0"/>
                  <a:ea typeface="Cambria Math" panose="02040503050406030204" pitchFamily="18" charset="0"/>
                  <a:cs typeface="+mn-cs"/>
                </a:rPr>
                <a:t>  𝐸/(𝑚_0 𝑐^2 )  </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719667</xdr:colOff>
      <xdr:row>205</xdr:row>
      <xdr:rowOff>105833</xdr:rowOff>
    </xdr:from>
    <xdr:ext cx="582082" cy="560917"/>
    <mc:AlternateContent xmlns:mc="http://schemas.openxmlformats.org/markup-compatibility/2006">
      <mc:Choice xmlns:a14="http://schemas.microsoft.com/office/drawing/2010/main" Requires="a14">
        <xdr:sp macro="" textlink="">
          <xdr:nvSpPr>
            <xdr:cNvPr id="61" name="TextBox 60">
              <a:extLst>
                <a:ext uri="{FF2B5EF4-FFF2-40B4-BE49-F238E27FC236}">
                  <a16:creationId xmlns:a16="http://schemas.microsoft.com/office/drawing/2014/main" id="{B81EB584-86DC-4F0D-9851-FB60C5F25DB8}"/>
                </a:ext>
              </a:extLst>
            </xdr:cNvPr>
            <xdr:cNvSpPr txBox="1"/>
          </xdr:nvSpPr>
          <xdr:spPr>
            <a:xfrm>
              <a:off x="4596342" y="57160583"/>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bg1"/>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bg1"/>
                            </a:solidFill>
                            <a:effectLst/>
                            <a:latin typeface="Cambria Math" panose="02040503050406030204" pitchFamily="18" charset="0"/>
                            <a:ea typeface="Cambria Math" panose="02040503050406030204" pitchFamily="18" charset="0"/>
                            <a:cs typeface="+mn-cs"/>
                          </a:rPr>
                          <m:t>𝑚</m:t>
                        </m:r>
                      </m:num>
                      <m:den>
                        <m:sSub>
                          <m:sSub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bg1"/>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bg1"/>
                                </a:solidFill>
                                <a:effectLst/>
                                <a:latin typeface="Cambria Math" panose="02040503050406030204" pitchFamily="18" charset="0"/>
                                <a:ea typeface="Cambria Math" panose="02040503050406030204" pitchFamily="18" charset="0"/>
                                <a:cs typeface="+mn-cs"/>
                              </a:rPr>
                              <m:t>0</m:t>
                            </m:r>
                          </m:sub>
                        </m:sSub>
                      </m:den>
                    </m:f>
                    <m:r>
                      <a:rPr lang="en-US" sz="1400" b="0" i="1" baseline="0">
                        <a:solidFill>
                          <a:schemeClr val="bg1"/>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61" name="TextBox 60">
              <a:extLst>
                <a:ext uri="{FF2B5EF4-FFF2-40B4-BE49-F238E27FC236}">
                  <a16:creationId xmlns:a16="http://schemas.microsoft.com/office/drawing/2014/main" id="{B81EB584-86DC-4F0D-9851-FB60C5F25DB8}"/>
                </a:ext>
              </a:extLst>
            </xdr:cNvPr>
            <xdr:cNvSpPr txBox="1"/>
          </xdr:nvSpPr>
          <xdr:spPr>
            <a:xfrm>
              <a:off x="4596342" y="57160583"/>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bg1"/>
                  </a:solidFill>
                  <a:effectLst/>
                  <a:latin typeface="Cambria Math" panose="02040503050406030204" pitchFamily="18" charset="0"/>
                  <a:ea typeface="Cambria Math" panose="02040503050406030204" pitchFamily="18" charset="0"/>
                  <a:cs typeface="+mn-cs"/>
                </a:rPr>
                <a:t>  𝑚/𝑚_0   </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635000</xdr:colOff>
      <xdr:row>205</xdr:row>
      <xdr:rowOff>127000</xdr:rowOff>
    </xdr:from>
    <xdr:ext cx="582082" cy="560917"/>
    <mc:AlternateContent xmlns:mc="http://schemas.openxmlformats.org/markup-compatibility/2006">
      <mc:Choice xmlns:a14="http://schemas.microsoft.com/office/drawing/2010/main" Requires="a14">
        <xdr:sp macro="" textlink="">
          <xdr:nvSpPr>
            <xdr:cNvPr id="62" name="TextBox 61">
              <a:extLst>
                <a:ext uri="{FF2B5EF4-FFF2-40B4-BE49-F238E27FC236}">
                  <a16:creationId xmlns:a16="http://schemas.microsoft.com/office/drawing/2014/main" id="{247A5391-5DF2-401C-8BB2-521DCC03DB3A}"/>
                </a:ext>
              </a:extLst>
            </xdr:cNvPr>
            <xdr:cNvSpPr txBox="1"/>
          </xdr:nvSpPr>
          <xdr:spPr>
            <a:xfrm>
              <a:off x="9655175" y="57181750"/>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bg1"/>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fPr>
                      <m:num>
                        <m:r>
                          <m:rPr>
                            <m:sty m:val="p"/>
                          </m:rPr>
                          <a:rPr lang="el-GR" sz="1400" b="0" i="1" baseline="0">
                            <a:solidFill>
                              <a:schemeClr val="bg1"/>
                            </a:solidFill>
                            <a:effectLst/>
                            <a:latin typeface="Cambria Math" panose="02040503050406030204" pitchFamily="18" charset="0"/>
                            <a:ea typeface="Cambria Math" panose="02040503050406030204" pitchFamily="18" charset="0"/>
                            <a:cs typeface="+mn-cs"/>
                          </a:rPr>
                          <m:t>ω</m:t>
                        </m:r>
                      </m:num>
                      <m:den>
                        <m:sSub>
                          <m:sSub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sSubPr>
                          <m:e>
                            <m:r>
                              <m:rPr>
                                <m:sty m:val="p"/>
                              </m:rPr>
                              <a:rPr lang="el-GR" sz="1400" b="0" i="1" baseline="0">
                                <a:solidFill>
                                  <a:schemeClr val="bg1"/>
                                </a:solidFill>
                                <a:effectLst/>
                                <a:latin typeface="Cambria Math" panose="02040503050406030204" pitchFamily="18" charset="0"/>
                                <a:ea typeface="Cambria Math" panose="02040503050406030204" pitchFamily="18" charset="0"/>
                                <a:cs typeface="+mn-cs"/>
                              </a:rPr>
                              <m:t>ω</m:t>
                            </m:r>
                          </m:e>
                          <m:sub>
                            <m:r>
                              <a:rPr lang="en-US" sz="1400" b="0" i="1" baseline="0">
                                <a:solidFill>
                                  <a:schemeClr val="bg1"/>
                                </a:solidFill>
                                <a:effectLst/>
                                <a:latin typeface="Cambria Math" panose="02040503050406030204" pitchFamily="18" charset="0"/>
                                <a:ea typeface="Cambria Math" panose="02040503050406030204" pitchFamily="18" charset="0"/>
                                <a:cs typeface="+mn-cs"/>
                              </a:rPr>
                              <m:t>𝐶</m:t>
                            </m:r>
                          </m:sub>
                        </m:sSub>
                      </m:den>
                    </m:f>
                    <m:r>
                      <a:rPr lang="en-US" sz="1400" b="0" i="1" baseline="0">
                        <a:solidFill>
                          <a:schemeClr val="bg1"/>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62" name="TextBox 61">
              <a:extLst>
                <a:ext uri="{FF2B5EF4-FFF2-40B4-BE49-F238E27FC236}">
                  <a16:creationId xmlns:a16="http://schemas.microsoft.com/office/drawing/2014/main" id="{247A5391-5DF2-401C-8BB2-521DCC03DB3A}"/>
                </a:ext>
              </a:extLst>
            </xdr:cNvPr>
            <xdr:cNvSpPr txBox="1"/>
          </xdr:nvSpPr>
          <xdr:spPr>
            <a:xfrm>
              <a:off x="9655175" y="57181750"/>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bg1"/>
                  </a:solidFill>
                  <a:effectLst/>
                  <a:latin typeface="Cambria Math" panose="02040503050406030204" pitchFamily="18" charset="0"/>
                  <a:ea typeface="Cambria Math" panose="02040503050406030204" pitchFamily="18" charset="0"/>
                  <a:cs typeface="+mn-cs"/>
                </a:rPr>
                <a:t> </a:t>
              </a:r>
              <a:r>
                <a:rPr lang="el-GR" sz="1400" b="0" i="0" baseline="0">
                  <a:solidFill>
                    <a:schemeClr val="bg1"/>
                  </a:solidFill>
                  <a:effectLst/>
                  <a:latin typeface="Cambria Math" panose="02040503050406030204" pitchFamily="18" charset="0"/>
                  <a:ea typeface="Cambria Math" panose="02040503050406030204" pitchFamily="18" charset="0"/>
                  <a:cs typeface="+mn-cs"/>
                </a:rPr>
                <a:t> ω</a:t>
              </a:r>
              <a:r>
                <a:rPr lang="en-US" sz="1400" b="0" i="0" baseline="0">
                  <a:solidFill>
                    <a:schemeClr val="bg1"/>
                  </a:solidFill>
                  <a:effectLst/>
                  <a:latin typeface="Cambria Math" panose="02040503050406030204" pitchFamily="18" charset="0"/>
                  <a:ea typeface="Cambria Math" panose="02040503050406030204" pitchFamily="18" charset="0"/>
                  <a:cs typeface="+mn-cs"/>
                </a:rPr>
                <a:t>/</a:t>
              </a:r>
              <a:r>
                <a:rPr lang="el-GR" sz="1400" b="0" i="0" baseline="0">
                  <a:solidFill>
                    <a:schemeClr val="bg1"/>
                  </a:solidFill>
                  <a:effectLst/>
                  <a:latin typeface="Cambria Math" panose="02040503050406030204" pitchFamily="18" charset="0"/>
                  <a:ea typeface="Cambria Math" panose="02040503050406030204" pitchFamily="18" charset="0"/>
                  <a:cs typeface="+mn-cs"/>
                </a:rPr>
                <a:t>ω</a:t>
              </a:r>
              <a:r>
                <a:rPr lang="en-US" sz="1400" b="0" i="0" baseline="0">
                  <a:solidFill>
                    <a:schemeClr val="bg1"/>
                  </a:solidFill>
                  <a:effectLst/>
                  <a:latin typeface="Cambria Math" panose="02040503050406030204" pitchFamily="18" charset="0"/>
                  <a:ea typeface="Cambria Math" panose="02040503050406030204" pitchFamily="18" charset="0"/>
                  <a:cs typeface="+mn-cs"/>
                </a:rPr>
                <a:t>_𝐶   </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645583</xdr:colOff>
      <xdr:row>205</xdr:row>
      <xdr:rowOff>137583</xdr:rowOff>
    </xdr:from>
    <xdr:ext cx="503766" cy="560917"/>
    <mc:AlternateContent xmlns:mc="http://schemas.openxmlformats.org/markup-compatibility/2006">
      <mc:Choice xmlns:a14="http://schemas.microsoft.com/office/drawing/2010/main" Requires="a14">
        <xdr:sp macro="" textlink="">
          <xdr:nvSpPr>
            <xdr:cNvPr id="63" name="TextBox 62">
              <a:extLst>
                <a:ext uri="{FF2B5EF4-FFF2-40B4-BE49-F238E27FC236}">
                  <a16:creationId xmlns:a16="http://schemas.microsoft.com/office/drawing/2014/main" id="{CC78CB2F-4B3E-4DF3-BEC7-88CE8626EF16}"/>
                </a:ext>
              </a:extLst>
            </xdr:cNvPr>
            <xdr:cNvSpPr txBox="1"/>
          </xdr:nvSpPr>
          <xdr:spPr>
            <a:xfrm>
              <a:off x="6236758" y="57192333"/>
              <a:ext cx="503766"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bg1"/>
                            </a:solidFill>
                            <a:effectLst/>
                            <a:latin typeface="Cambria Math" panose="02040503050406030204" pitchFamily="18" charset="0"/>
                            <a:ea typeface="Cambria Math" panose="02040503050406030204" pitchFamily="18" charset="0"/>
                            <a:cs typeface="+mn-cs"/>
                          </a:rPr>
                          <m:t>𝑣</m:t>
                        </m:r>
                      </m:num>
                      <m:den>
                        <m:r>
                          <a:rPr lang="en-US" sz="1400" b="0" i="1" baseline="0">
                            <a:solidFill>
                              <a:schemeClr val="bg1"/>
                            </a:solidFill>
                            <a:effectLst/>
                            <a:latin typeface="Cambria Math" panose="02040503050406030204" pitchFamily="18" charset="0"/>
                            <a:ea typeface="Cambria Math" panose="02040503050406030204" pitchFamily="18" charset="0"/>
                            <a:cs typeface="+mn-cs"/>
                          </a:rPr>
                          <m:t>𝑐</m:t>
                        </m:r>
                      </m:den>
                    </m:f>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63" name="TextBox 62">
              <a:extLst>
                <a:ext uri="{FF2B5EF4-FFF2-40B4-BE49-F238E27FC236}">
                  <a16:creationId xmlns:a16="http://schemas.microsoft.com/office/drawing/2014/main" id="{CC78CB2F-4B3E-4DF3-BEC7-88CE8626EF16}"/>
                </a:ext>
              </a:extLst>
            </xdr:cNvPr>
            <xdr:cNvSpPr txBox="1"/>
          </xdr:nvSpPr>
          <xdr:spPr>
            <a:xfrm>
              <a:off x="6236758" y="57192333"/>
              <a:ext cx="503766"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bg1"/>
                  </a:solidFill>
                  <a:effectLst/>
                  <a:latin typeface="Cambria Math" panose="02040503050406030204" pitchFamily="18" charset="0"/>
                  <a:ea typeface="Cambria Math" panose="02040503050406030204" pitchFamily="18" charset="0"/>
                  <a:cs typeface="+mn-cs"/>
                </a:rPr>
                <a:t>𝑣/𝑐</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656167</xdr:colOff>
      <xdr:row>205</xdr:row>
      <xdr:rowOff>148167</xdr:rowOff>
    </xdr:from>
    <xdr:ext cx="582082" cy="560917"/>
    <mc:AlternateContent xmlns:mc="http://schemas.openxmlformats.org/markup-compatibility/2006">
      <mc:Choice xmlns:a14="http://schemas.microsoft.com/office/drawing/2010/main" Requires="a14">
        <xdr:sp macro="" textlink="">
          <xdr:nvSpPr>
            <xdr:cNvPr id="64" name="TextBox 63">
              <a:extLst>
                <a:ext uri="{FF2B5EF4-FFF2-40B4-BE49-F238E27FC236}">
                  <a16:creationId xmlns:a16="http://schemas.microsoft.com/office/drawing/2014/main" id="{65C5BD30-77F8-4E8C-97D9-733653CDE8B9}"/>
                </a:ext>
              </a:extLst>
            </xdr:cNvPr>
            <xdr:cNvSpPr txBox="1"/>
          </xdr:nvSpPr>
          <xdr:spPr>
            <a:xfrm>
              <a:off x="2818342" y="57202917"/>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bg1"/>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bg1"/>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bg1"/>
                                </a:solidFill>
                                <a:effectLst/>
                                <a:latin typeface="Cambria Math" panose="02040503050406030204" pitchFamily="18" charset="0"/>
                                <a:ea typeface="Cambria Math" panose="02040503050406030204" pitchFamily="18" charset="0"/>
                                <a:cs typeface="+mn-cs"/>
                              </a:rPr>
                              <m:t>ƛ</m:t>
                            </m:r>
                          </m:e>
                          <m:sub>
                            <m:r>
                              <a:rPr lang="en-US" sz="1400" b="0" i="1" baseline="0">
                                <a:solidFill>
                                  <a:schemeClr val="bg1"/>
                                </a:solidFill>
                                <a:effectLst/>
                                <a:latin typeface="Cambria Math" panose="02040503050406030204" pitchFamily="18" charset="0"/>
                                <a:ea typeface="Cambria Math" panose="02040503050406030204" pitchFamily="18" charset="0"/>
                                <a:cs typeface="+mn-cs"/>
                              </a:rPr>
                              <m:t>𝐶</m:t>
                            </m:r>
                          </m:sub>
                        </m:sSub>
                      </m:num>
                      <m:den>
                        <m:r>
                          <a:rPr lang="en-US" sz="1400" b="0" i="1" baseline="0">
                            <a:solidFill>
                              <a:schemeClr val="bg1"/>
                            </a:solidFill>
                            <a:effectLst/>
                            <a:latin typeface="Cambria Math" panose="02040503050406030204" pitchFamily="18" charset="0"/>
                            <a:ea typeface="Cambria Math" panose="02040503050406030204" pitchFamily="18" charset="0"/>
                            <a:cs typeface="+mn-cs"/>
                          </a:rPr>
                          <m:t>ƛ</m:t>
                        </m:r>
                      </m:den>
                    </m:f>
                    <m:r>
                      <a:rPr lang="en-US" sz="1400" b="0" i="1" baseline="0">
                        <a:solidFill>
                          <a:schemeClr val="bg1"/>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64" name="TextBox 63">
              <a:extLst>
                <a:ext uri="{FF2B5EF4-FFF2-40B4-BE49-F238E27FC236}">
                  <a16:creationId xmlns:a16="http://schemas.microsoft.com/office/drawing/2014/main" id="{65C5BD30-77F8-4E8C-97D9-733653CDE8B9}"/>
                </a:ext>
              </a:extLst>
            </xdr:cNvPr>
            <xdr:cNvSpPr txBox="1"/>
          </xdr:nvSpPr>
          <xdr:spPr>
            <a:xfrm>
              <a:off x="2818342" y="57202917"/>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bg1"/>
                  </a:solidFill>
                  <a:effectLst/>
                  <a:latin typeface="Cambria Math" panose="02040503050406030204" pitchFamily="18" charset="0"/>
                  <a:ea typeface="Cambria Math" panose="02040503050406030204" pitchFamily="18" charset="0"/>
                  <a:cs typeface="+mn-cs"/>
                </a:rPr>
                <a:t>  ƛ_𝐶/ƛ  </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592667</xdr:colOff>
      <xdr:row>183</xdr:row>
      <xdr:rowOff>95250</xdr:rowOff>
    </xdr:from>
    <xdr:ext cx="582082" cy="560917"/>
    <mc:AlternateContent xmlns:mc="http://schemas.openxmlformats.org/markup-compatibility/2006">
      <mc:Choice xmlns:a14="http://schemas.microsoft.com/office/drawing/2010/main" Requires="a14">
        <xdr:sp macro="" textlink="">
          <xdr:nvSpPr>
            <xdr:cNvPr id="65" name="TextBox 64">
              <a:extLst>
                <a:ext uri="{FF2B5EF4-FFF2-40B4-BE49-F238E27FC236}">
                  <a16:creationId xmlns:a16="http://schemas.microsoft.com/office/drawing/2014/main" id="{AA746BEA-465C-49E7-9E36-11D4BA2D8A42}"/>
                </a:ext>
              </a:extLst>
            </xdr:cNvPr>
            <xdr:cNvSpPr txBox="1"/>
          </xdr:nvSpPr>
          <xdr:spPr>
            <a:xfrm>
              <a:off x="2754842" y="50320575"/>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num>
                      <m:den>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𝑣</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65" name="TextBox 64">
              <a:extLst>
                <a:ext uri="{FF2B5EF4-FFF2-40B4-BE49-F238E27FC236}">
                  <a16:creationId xmlns:a16="http://schemas.microsoft.com/office/drawing/2014/main" id="{AA746BEA-465C-49E7-9E36-11D4BA2D8A42}"/>
                </a:ext>
              </a:extLst>
            </xdr:cNvPr>
            <xdr:cNvSpPr txBox="1"/>
          </xdr:nvSpPr>
          <xdr:spPr>
            <a:xfrm>
              <a:off x="2754842" y="50320575"/>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ℏ/(𝑚_0 𝑣)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586318</xdr:colOff>
      <xdr:row>183</xdr:row>
      <xdr:rowOff>99485</xdr:rowOff>
    </xdr:from>
    <xdr:ext cx="582082" cy="560917"/>
    <mc:AlternateContent xmlns:mc="http://schemas.openxmlformats.org/markup-compatibility/2006">
      <mc:Choice xmlns:a14="http://schemas.microsoft.com/office/drawing/2010/main" Requires="a14">
        <xdr:sp macro="" textlink="">
          <xdr:nvSpPr>
            <xdr:cNvPr id="66" name="TextBox 65">
              <a:extLst>
                <a:ext uri="{FF2B5EF4-FFF2-40B4-BE49-F238E27FC236}">
                  <a16:creationId xmlns:a16="http://schemas.microsoft.com/office/drawing/2014/main" id="{683F4144-8640-49A4-B217-FE2BBC4822ED}"/>
                </a:ext>
              </a:extLst>
            </xdr:cNvPr>
            <xdr:cNvSpPr txBox="1"/>
          </xdr:nvSpPr>
          <xdr:spPr>
            <a:xfrm>
              <a:off x="4462993" y="50324810"/>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ƛ</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66" name="TextBox 65">
              <a:extLst>
                <a:ext uri="{FF2B5EF4-FFF2-40B4-BE49-F238E27FC236}">
                  <a16:creationId xmlns:a16="http://schemas.microsoft.com/office/drawing/2014/main" id="{683F4144-8640-49A4-B217-FE2BBC4822ED}"/>
                </a:ext>
              </a:extLst>
            </xdr:cNvPr>
            <xdr:cNvSpPr txBox="1"/>
          </xdr:nvSpPr>
          <xdr:spPr>
            <a:xfrm>
              <a:off x="4462993" y="50324810"/>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ℏ/ƛ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635000</xdr:colOff>
      <xdr:row>183</xdr:row>
      <xdr:rowOff>127000</xdr:rowOff>
    </xdr:from>
    <xdr:ext cx="582082" cy="560917"/>
    <mc:AlternateContent xmlns:mc="http://schemas.openxmlformats.org/markup-compatibility/2006">
      <mc:Choice xmlns:a14="http://schemas.microsoft.com/office/drawing/2010/main" Requires="a14">
        <xdr:sp macro="" textlink="">
          <xdr:nvSpPr>
            <xdr:cNvPr id="67" name="TextBox 66">
              <a:extLst>
                <a:ext uri="{FF2B5EF4-FFF2-40B4-BE49-F238E27FC236}">
                  <a16:creationId xmlns:a16="http://schemas.microsoft.com/office/drawing/2014/main" id="{F7B9342B-B975-4BBD-B3FE-C2A0E34F9BC5}"/>
                </a:ext>
              </a:extLst>
            </xdr:cNvPr>
            <xdr:cNvSpPr txBox="1"/>
          </xdr:nvSpPr>
          <xdr:spPr>
            <a:xfrm>
              <a:off x="6226175" y="50352325"/>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𝑣</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67" name="TextBox 66">
              <a:extLst>
                <a:ext uri="{FF2B5EF4-FFF2-40B4-BE49-F238E27FC236}">
                  <a16:creationId xmlns:a16="http://schemas.microsoft.com/office/drawing/2014/main" id="{F7B9342B-B975-4BBD-B3FE-C2A0E34F9BC5}"/>
                </a:ext>
              </a:extLst>
            </xdr:cNvPr>
            <xdr:cNvSpPr txBox="1"/>
          </xdr:nvSpPr>
          <xdr:spPr>
            <a:xfrm>
              <a:off x="6226175" y="50352325"/>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𝑚_0 𝑣</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582084</xdr:colOff>
      <xdr:row>183</xdr:row>
      <xdr:rowOff>105834</xdr:rowOff>
    </xdr:from>
    <xdr:ext cx="582082" cy="560917"/>
    <mc:AlternateContent xmlns:mc="http://schemas.openxmlformats.org/markup-compatibility/2006">
      <mc:Choice xmlns:a14="http://schemas.microsoft.com/office/drawing/2010/main" Requires="a14">
        <xdr:sp macro="" textlink="">
          <xdr:nvSpPr>
            <xdr:cNvPr id="68" name="TextBox 67">
              <a:extLst>
                <a:ext uri="{FF2B5EF4-FFF2-40B4-BE49-F238E27FC236}">
                  <a16:creationId xmlns:a16="http://schemas.microsoft.com/office/drawing/2014/main" id="{B3BF6F48-1ACC-4B73-90F0-9DD498DFF9DB}"/>
                </a:ext>
              </a:extLst>
            </xdr:cNvPr>
            <xdr:cNvSpPr txBox="1"/>
          </xdr:nvSpPr>
          <xdr:spPr>
            <a:xfrm>
              <a:off x="7887759" y="50331159"/>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𝑝</m:t>
                        </m:r>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68" name="TextBox 67">
              <a:extLst>
                <a:ext uri="{FF2B5EF4-FFF2-40B4-BE49-F238E27FC236}">
                  <a16:creationId xmlns:a16="http://schemas.microsoft.com/office/drawing/2014/main" id="{B3BF6F48-1ACC-4B73-90F0-9DD498DFF9DB}"/>
                </a:ext>
              </a:extLst>
            </xdr:cNvPr>
            <xdr:cNvSpPr txBox="1"/>
          </xdr:nvSpPr>
          <xdr:spPr>
            <a:xfrm>
              <a:off x="7887759" y="50331159"/>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𝑝/𝑐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603250</xdr:colOff>
      <xdr:row>183</xdr:row>
      <xdr:rowOff>158750</xdr:rowOff>
    </xdr:from>
    <xdr:ext cx="582082" cy="560917"/>
    <mc:AlternateContent xmlns:mc="http://schemas.openxmlformats.org/markup-compatibility/2006">
      <mc:Choice xmlns:a14="http://schemas.microsoft.com/office/drawing/2010/main" Requires="a14">
        <xdr:sp macro="" textlink="">
          <xdr:nvSpPr>
            <xdr:cNvPr id="69" name="TextBox 68">
              <a:extLst>
                <a:ext uri="{FF2B5EF4-FFF2-40B4-BE49-F238E27FC236}">
                  <a16:creationId xmlns:a16="http://schemas.microsoft.com/office/drawing/2014/main" id="{5871D3E7-D8BA-450A-8B73-9F1CF82D2076}"/>
                </a:ext>
              </a:extLst>
            </xdr:cNvPr>
            <xdr:cNvSpPr txBox="1"/>
          </xdr:nvSpPr>
          <xdr:spPr>
            <a:xfrm>
              <a:off x="16481425" y="50384075"/>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num>
                      <m:den>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ƛ</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69" name="TextBox 68">
              <a:extLst>
                <a:ext uri="{FF2B5EF4-FFF2-40B4-BE49-F238E27FC236}">
                  <a16:creationId xmlns:a16="http://schemas.microsoft.com/office/drawing/2014/main" id="{5871D3E7-D8BA-450A-8B73-9F1CF82D2076}"/>
                </a:ext>
              </a:extLst>
            </xdr:cNvPr>
            <xdr:cNvSpPr txBox="1"/>
          </xdr:nvSpPr>
          <xdr:spPr>
            <a:xfrm>
              <a:off x="16481425" y="50384075"/>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ℏ/(𝑚_0 ƛ)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624416</xdr:colOff>
      <xdr:row>195</xdr:row>
      <xdr:rowOff>74083</xdr:rowOff>
    </xdr:from>
    <xdr:ext cx="582082" cy="560917"/>
    <mc:AlternateContent xmlns:mc="http://schemas.openxmlformats.org/markup-compatibility/2006">
      <mc:Choice xmlns:a14="http://schemas.microsoft.com/office/drawing/2010/main" Requires="a14">
        <xdr:sp macro="" textlink="">
          <xdr:nvSpPr>
            <xdr:cNvPr id="70" name="TextBox 69">
              <a:extLst>
                <a:ext uri="{FF2B5EF4-FFF2-40B4-BE49-F238E27FC236}">
                  <a16:creationId xmlns:a16="http://schemas.microsoft.com/office/drawing/2014/main" id="{EED5B5CD-3D69-4D51-8E64-7C844CEDF3AC}"/>
                </a:ext>
              </a:extLst>
            </xdr:cNvPr>
            <xdr:cNvSpPr txBox="1"/>
          </xdr:nvSpPr>
          <xdr:spPr>
            <a:xfrm>
              <a:off x="4501091" y="54157033"/>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𝑝</m:t>
                        </m:r>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0" name="TextBox 69">
              <a:extLst>
                <a:ext uri="{FF2B5EF4-FFF2-40B4-BE49-F238E27FC236}">
                  <a16:creationId xmlns:a16="http://schemas.microsoft.com/office/drawing/2014/main" id="{EED5B5CD-3D69-4D51-8E64-7C844CEDF3AC}"/>
                </a:ext>
              </a:extLst>
            </xdr:cNvPr>
            <xdr:cNvSpPr txBox="1"/>
          </xdr:nvSpPr>
          <xdr:spPr>
            <a:xfrm>
              <a:off x="4501091" y="54157033"/>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𝑝/𝑐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639233</xdr:colOff>
      <xdr:row>195</xdr:row>
      <xdr:rowOff>88900</xdr:rowOff>
    </xdr:from>
    <xdr:ext cx="582082" cy="560917"/>
    <mc:AlternateContent xmlns:mc="http://schemas.openxmlformats.org/markup-compatibility/2006">
      <mc:Choice xmlns:a14="http://schemas.microsoft.com/office/drawing/2010/main" Requires="a14">
        <xdr:sp macro="" textlink="">
          <xdr:nvSpPr>
            <xdr:cNvPr id="71" name="TextBox 70">
              <a:extLst>
                <a:ext uri="{FF2B5EF4-FFF2-40B4-BE49-F238E27FC236}">
                  <a16:creationId xmlns:a16="http://schemas.microsoft.com/office/drawing/2014/main" id="{F969E64C-4A2C-4A4D-980A-2F68A6791248}"/>
                </a:ext>
              </a:extLst>
            </xdr:cNvPr>
            <xdr:cNvSpPr txBox="1"/>
          </xdr:nvSpPr>
          <xdr:spPr>
            <a:xfrm>
              <a:off x="7944908" y="54171850"/>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ƛ</m:t>
                        </m:r>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𝑣</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1" name="TextBox 70">
              <a:extLst>
                <a:ext uri="{FF2B5EF4-FFF2-40B4-BE49-F238E27FC236}">
                  <a16:creationId xmlns:a16="http://schemas.microsoft.com/office/drawing/2014/main" id="{F969E64C-4A2C-4A4D-980A-2F68A6791248}"/>
                </a:ext>
              </a:extLst>
            </xdr:cNvPr>
            <xdr:cNvSpPr txBox="1"/>
          </xdr:nvSpPr>
          <xdr:spPr>
            <a:xfrm>
              <a:off x="7944908" y="54171850"/>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ƛ/𝑣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582084</xdr:colOff>
      <xdr:row>195</xdr:row>
      <xdr:rowOff>21166</xdr:rowOff>
    </xdr:from>
    <xdr:ext cx="582082" cy="560917"/>
    <mc:AlternateContent xmlns:mc="http://schemas.openxmlformats.org/markup-compatibility/2006">
      <mc:Choice xmlns:a14="http://schemas.microsoft.com/office/drawing/2010/main" Requires="a14">
        <xdr:sp macro="" textlink="">
          <xdr:nvSpPr>
            <xdr:cNvPr id="72" name="TextBox 71">
              <a:extLst>
                <a:ext uri="{FF2B5EF4-FFF2-40B4-BE49-F238E27FC236}">
                  <a16:creationId xmlns:a16="http://schemas.microsoft.com/office/drawing/2014/main" id="{EE303AC5-D41A-4ABE-AAA9-3E279FB45414}"/>
                </a:ext>
              </a:extLst>
            </xdr:cNvPr>
            <xdr:cNvSpPr txBox="1"/>
          </xdr:nvSpPr>
          <xdr:spPr>
            <a:xfrm>
              <a:off x="6173259" y="54104116"/>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num>
                      <m:den>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ƛ</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2" name="TextBox 71">
              <a:extLst>
                <a:ext uri="{FF2B5EF4-FFF2-40B4-BE49-F238E27FC236}">
                  <a16:creationId xmlns:a16="http://schemas.microsoft.com/office/drawing/2014/main" id="{EE303AC5-D41A-4ABE-AAA9-3E279FB45414}"/>
                </a:ext>
              </a:extLst>
            </xdr:cNvPr>
            <xdr:cNvSpPr txBox="1"/>
          </xdr:nvSpPr>
          <xdr:spPr>
            <a:xfrm>
              <a:off x="6173259" y="54104116"/>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ℏ/(𝑚_0 ƛ)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687916</xdr:colOff>
      <xdr:row>195</xdr:row>
      <xdr:rowOff>42333</xdr:rowOff>
    </xdr:from>
    <xdr:ext cx="328083" cy="560917"/>
    <mc:AlternateContent xmlns:mc="http://schemas.openxmlformats.org/markup-compatibility/2006">
      <mc:Choice xmlns:a14="http://schemas.microsoft.com/office/drawing/2010/main" Requires="a14">
        <xdr:sp macro="" textlink="">
          <xdr:nvSpPr>
            <xdr:cNvPr id="73" name="TextBox 72">
              <a:extLst>
                <a:ext uri="{FF2B5EF4-FFF2-40B4-BE49-F238E27FC236}">
                  <a16:creationId xmlns:a16="http://schemas.microsoft.com/office/drawing/2014/main" id="{32F7BB13-01C2-4B6B-810F-BF25E7DDED23}"/>
                </a:ext>
              </a:extLst>
            </xdr:cNvPr>
            <xdr:cNvSpPr txBox="1"/>
          </xdr:nvSpPr>
          <xdr:spPr>
            <a:xfrm>
              <a:off x="9708091" y="54125283"/>
              <a:ext cx="328083"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r>
                          <m:rPr>
                            <m:sty m:val="p"/>
                          </m:rPr>
                          <a:rPr lang="el-GR"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τ</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73" name="TextBox 72">
              <a:extLst>
                <a:ext uri="{FF2B5EF4-FFF2-40B4-BE49-F238E27FC236}">
                  <a16:creationId xmlns:a16="http://schemas.microsoft.com/office/drawing/2014/main" id="{32F7BB13-01C2-4B6B-810F-BF25E7DDED23}"/>
                </a:ext>
              </a:extLst>
            </xdr:cNvPr>
            <xdr:cNvSpPr txBox="1"/>
          </xdr:nvSpPr>
          <xdr:spPr>
            <a:xfrm>
              <a:off x="9708091" y="54125283"/>
              <a:ext cx="328083"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1/</a:t>
              </a:r>
              <a:r>
                <a:rPr lang="el-GR"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τ</a:t>
              </a: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494772</xdr:colOff>
      <xdr:row>77</xdr:row>
      <xdr:rowOff>120385</xdr:rowOff>
    </xdr:from>
    <xdr:ext cx="772583" cy="502920"/>
    <mc:AlternateContent xmlns:mc="http://schemas.openxmlformats.org/markup-compatibility/2006">
      <mc:Choice xmlns:a14="http://schemas.microsoft.com/office/drawing/2010/main" Requires="a14">
        <xdr:sp macro="" textlink="">
          <xdr:nvSpPr>
            <xdr:cNvPr id="74" name="TextBox 73">
              <a:extLst>
                <a:ext uri="{FF2B5EF4-FFF2-40B4-BE49-F238E27FC236}">
                  <a16:creationId xmlns:a16="http://schemas.microsoft.com/office/drawing/2014/main" id="{4A4CDDDB-9A05-4F2A-84E4-8C833D3FB24A}"/>
                </a:ext>
              </a:extLst>
            </xdr:cNvPr>
            <xdr:cNvSpPr txBox="1"/>
          </xdr:nvSpPr>
          <xdr:spPr>
            <a:xfrm>
              <a:off x="11229447" y="19389460"/>
              <a:ext cx="7725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h</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m:t>
                        </m:r>
                        <m:r>
                          <m:rPr>
                            <m:sty m:val="p"/>
                          </m:rP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m:t>v</m:t>
                        </m:r>
                      </m:e>
                      <m:sub>
                        <m:r>
                          <m:rPr>
                            <m:sty m:val="p"/>
                          </m:rP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m:t>Cs</m:t>
                        </m:r>
                      </m:sub>
                    </m:s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74" name="TextBox 73">
              <a:extLst>
                <a:ext uri="{FF2B5EF4-FFF2-40B4-BE49-F238E27FC236}">
                  <a16:creationId xmlns:a16="http://schemas.microsoft.com/office/drawing/2014/main" id="{4A4CDDDB-9A05-4F2A-84E4-8C833D3FB24A}"/>
                </a:ext>
              </a:extLst>
            </xdr:cNvPr>
            <xdr:cNvSpPr txBox="1"/>
          </xdr:nvSpPr>
          <xdr:spPr>
            <a:xfrm>
              <a:off x="11229447" y="19389460"/>
              <a:ext cx="7725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ℎ 〖∆v〗_Cs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580762</xdr:colOff>
      <xdr:row>77</xdr:row>
      <xdr:rowOff>120385</xdr:rowOff>
    </xdr:from>
    <xdr:ext cx="571500" cy="502920"/>
    <mc:AlternateContent xmlns:mc="http://schemas.openxmlformats.org/markup-compatibility/2006">
      <mc:Choice xmlns:a14="http://schemas.microsoft.com/office/drawing/2010/main" Requires="a14">
        <xdr:sp macro="" textlink="">
          <xdr:nvSpPr>
            <xdr:cNvPr id="75" name="TextBox 74">
              <a:extLst>
                <a:ext uri="{FF2B5EF4-FFF2-40B4-BE49-F238E27FC236}">
                  <a16:creationId xmlns:a16="http://schemas.microsoft.com/office/drawing/2014/main" id="{DBE08189-F9AC-4A60-9A81-1A62376807FB}"/>
                </a:ext>
              </a:extLst>
            </xdr:cNvPr>
            <xdr:cNvSpPr txBox="1"/>
          </xdr:nvSpPr>
          <xdr:spPr>
            <a:xfrm>
              <a:off x="6171937"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1</m:t>
                        </m:r>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𝑓</m:t>
                        </m:r>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75" name="TextBox 74">
              <a:extLst>
                <a:ext uri="{FF2B5EF4-FFF2-40B4-BE49-F238E27FC236}">
                  <a16:creationId xmlns:a16="http://schemas.microsoft.com/office/drawing/2014/main" id="{DBE08189-F9AC-4A60-9A81-1A62376807FB}"/>
                </a:ext>
              </a:extLst>
            </xdr:cNvPr>
            <xdr:cNvSpPr txBox="1"/>
          </xdr:nvSpPr>
          <xdr:spPr>
            <a:xfrm>
              <a:off x="6171937"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1/𝑓</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575469</xdr:colOff>
      <xdr:row>77</xdr:row>
      <xdr:rowOff>120385</xdr:rowOff>
    </xdr:from>
    <xdr:ext cx="571500" cy="502920"/>
    <mc:AlternateContent xmlns:mc="http://schemas.openxmlformats.org/markup-compatibility/2006">
      <mc:Choice xmlns:a14="http://schemas.microsoft.com/office/drawing/2010/main" Requires="a14">
        <xdr:sp macro="" textlink="">
          <xdr:nvSpPr>
            <xdr:cNvPr id="76" name="TextBox 75">
              <a:extLst>
                <a:ext uri="{FF2B5EF4-FFF2-40B4-BE49-F238E27FC236}">
                  <a16:creationId xmlns:a16="http://schemas.microsoft.com/office/drawing/2014/main" id="{8D775672-B575-4A2E-9F16-D0AD38DBDDDC}"/>
                </a:ext>
              </a:extLst>
            </xdr:cNvPr>
            <xdr:cNvSpPr txBox="1"/>
          </xdr:nvSpPr>
          <xdr:spPr>
            <a:xfrm>
              <a:off x="2737644"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𝑐</m:t>
                        </m:r>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𝑓</m:t>
                        </m:r>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76" name="TextBox 75">
              <a:extLst>
                <a:ext uri="{FF2B5EF4-FFF2-40B4-BE49-F238E27FC236}">
                  <a16:creationId xmlns:a16="http://schemas.microsoft.com/office/drawing/2014/main" id="{8D775672-B575-4A2E-9F16-D0AD38DBDDDC}"/>
                </a:ext>
              </a:extLst>
            </xdr:cNvPr>
            <xdr:cNvSpPr txBox="1"/>
          </xdr:nvSpPr>
          <xdr:spPr>
            <a:xfrm>
              <a:off x="2737644"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𝑐/𝑓</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592667</xdr:colOff>
      <xdr:row>97</xdr:row>
      <xdr:rowOff>138905</xdr:rowOff>
    </xdr:from>
    <xdr:ext cx="571500" cy="502920"/>
    <mc:AlternateContent xmlns:mc="http://schemas.openxmlformats.org/markup-compatibility/2006">
      <mc:Choice xmlns:a14="http://schemas.microsoft.com/office/drawing/2010/main" Requires="a14">
        <xdr:sp macro="" textlink="">
          <xdr:nvSpPr>
            <xdr:cNvPr id="77" name="TextBox 76">
              <a:extLst>
                <a:ext uri="{FF2B5EF4-FFF2-40B4-BE49-F238E27FC236}">
                  <a16:creationId xmlns:a16="http://schemas.microsoft.com/office/drawing/2014/main" id="{09772670-C76F-493A-AAB5-9972580B166C}"/>
                </a:ext>
              </a:extLst>
            </xdr:cNvPr>
            <xdr:cNvSpPr txBox="1"/>
          </xdr:nvSpPr>
          <xdr:spPr>
            <a:xfrm>
              <a:off x="2754842"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l-GR"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𝜆</m:t>
                        </m:r>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2</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𝜋</m:t>
                        </m:r>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77" name="TextBox 76">
              <a:extLst>
                <a:ext uri="{FF2B5EF4-FFF2-40B4-BE49-F238E27FC236}">
                  <a16:creationId xmlns:a16="http://schemas.microsoft.com/office/drawing/2014/main" id="{09772670-C76F-493A-AAB5-9972580B166C}"/>
                </a:ext>
              </a:extLst>
            </xdr:cNvPr>
            <xdr:cNvSpPr txBox="1"/>
          </xdr:nvSpPr>
          <xdr:spPr>
            <a:xfrm>
              <a:off x="2754842"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l-GR"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𝜆</a:t>
              </a: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/2𝜋</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579436</xdr:colOff>
      <xdr:row>97</xdr:row>
      <xdr:rowOff>138905</xdr:rowOff>
    </xdr:from>
    <xdr:ext cx="571500" cy="502920"/>
    <mc:AlternateContent xmlns:mc="http://schemas.openxmlformats.org/markup-compatibility/2006">
      <mc:Choice xmlns:a14="http://schemas.microsoft.com/office/drawing/2010/main" Requires="a14">
        <xdr:sp macro="" textlink="">
          <xdr:nvSpPr>
            <xdr:cNvPr id="78" name="TextBox 77">
              <a:extLst>
                <a:ext uri="{FF2B5EF4-FFF2-40B4-BE49-F238E27FC236}">
                  <a16:creationId xmlns:a16="http://schemas.microsoft.com/office/drawing/2014/main" id="{6E2862F2-DE38-49A0-A63A-E77BF6EE7303}"/>
                </a:ext>
              </a:extLst>
            </xdr:cNvPr>
            <xdr:cNvSpPr txBox="1"/>
          </xdr:nvSpPr>
          <xdr:spPr>
            <a:xfrm>
              <a:off x="6170611"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𝑇</m:t>
                        </m:r>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2</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𝜋</m:t>
                        </m:r>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78" name="TextBox 77">
              <a:extLst>
                <a:ext uri="{FF2B5EF4-FFF2-40B4-BE49-F238E27FC236}">
                  <a16:creationId xmlns:a16="http://schemas.microsoft.com/office/drawing/2014/main" id="{6E2862F2-DE38-49A0-A63A-E77BF6EE7303}"/>
                </a:ext>
              </a:extLst>
            </xdr:cNvPr>
            <xdr:cNvSpPr txBox="1"/>
          </xdr:nvSpPr>
          <xdr:spPr>
            <a:xfrm>
              <a:off x="6170611"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𝑇/2𝜋</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603251</xdr:colOff>
      <xdr:row>97</xdr:row>
      <xdr:rowOff>138905</xdr:rowOff>
    </xdr:from>
    <xdr:ext cx="571500" cy="502920"/>
    <mc:AlternateContent xmlns:mc="http://schemas.openxmlformats.org/markup-compatibility/2006">
      <mc:Choice xmlns:a14="http://schemas.microsoft.com/office/drawing/2010/main" Requires="a14">
        <xdr:sp macro="" textlink="">
          <xdr:nvSpPr>
            <xdr:cNvPr id="79" name="TextBox 78">
              <a:extLst>
                <a:ext uri="{FF2B5EF4-FFF2-40B4-BE49-F238E27FC236}">
                  <a16:creationId xmlns:a16="http://schemas.microsoft.com/office/drawing/2014/main" id="{FC5C50AA-74DC-417F-88C0-AD5680B1B2BE}"/>
                </a:ext>
              </a:extLst>
            </xdr:cNvPr>
            <xdr:cNvSpPr txBox="1"/>
          </xdr:nvSpPr>
          <xdr:spPr>
            <a:xfrm>
              <a:off x="7908926"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2</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𝜋</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𝑓</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79" name="TextBox 78">
              <a:extLst>
                <a:ext uri="{FF2B5EF4-FFF2-40B4-BE49-F238E27FC236}">
                  <a16:creationId xmlns:a16="http://schemas.microsoft.com/office/drawing/2014/main" id="{FC5C50AA-74DC-417F-88C0-AD5680B1B2BE}"/>
                </a:ext>
              </a:extLst>
            </xdr:cNvPr>
            <xdr:cNvSpPr txBox="1"/>
          </xdr:nvSpPr>
          <xdr:spPr>
            <a:xfrm>
              <a:off x="7908926"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2𝜋𝑓</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511971</xdr:colOff>
      <xdr:row>97</xdr:row>
      <xdr:rowOff>138905</xdr:rowOff>
    </xdr:from>
    <xdr:ext cx="772583" cy="502920"/>
    <mc:AlternateContent xmlns:mc="http://schemas.openxmlformats.org/markup-compatibility/2006">
      <mc:Choice xmlns:a14="http://schemas.microsoft.com/office/drawing/2010/main" Requires="a14">
        <xdr:sp macro="" textlink="">
          <xdr:nvSpPr>
            <xdr:cNvPr id="80" name="TextBox 79">
              <a:extLst>
                <a:ext uri="{FF2B5EF4-FFF2-40B4-BE49-F238E27FC236}">
                  <a16:creationId xmlns:a16="http://schemas.microsoft.com/office/drawing/2014/main" id="{F0EA3D0E-FF8E-4D6A-A49C-58758AE68D08}"/>
                </a:ext>
              </a:extLst>
            </xdr:cNvPr>
            <xdr:cNvSpPr txBox="1"/>
          </xdr:nvSpPr>
          <xdr:spPr>
            <a:xfrm>
              <a:off x="11246646" y="26104055"/>
              <a:ext cx="7725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ℏ</m:t>
                    </m:r>
                    <m:r>
                      <m:rPr>
                        <m:sty m:val="p"/>
                      </m:rPr>
                      <a:rPr lang="el-GR"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ω</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0" name="TextBox 79">
              <a:extLst>
                <a:ext uri="{FF2B5EF4-FFF2-40B4-BE49-F238E27FC236}">
                  <a16:creationId xmlns:a16="http://schemas.microsoft.com/office/drawing/2014/main" id="{F0EA3D0E-FF8E-4D6A-A49C-58758AE68D08}"/>
                </a:ext>
              </a:extLst>
            </xdr:cNvPr>
            <xdr:cNvSpPr txBox="1"/>
          </xdr:nvSpPr>
          <xdr:spPr>
            <a:xfrm>
              <a:off x="11246646" y="26104055"/>
              <a:ext cx="7725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ℏ</a:t>
              </a:r>
              <a:r>
                <a:rPr lang="el-GR"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ω</a:t>
              </a: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513293</xdr:colOff>
      <xdr:row>77</xdr:row>
      <xdr:rowOff>120385</xdr:rowOff>
    </xdr:from>
    <xdr:ext cx="772583" cy="502920"/>
    <mc:AlternateContent xmlns:mc="http://schemas.openxmlformats.org/markup-compatibility/2006">
      <mc:Choice xmlns:a14="http://schemas.microsoft.com/office/drawing/2010/main" Requires="a14">
        <xdr:sp macro="" textlink="">
          <xdr:nvSpPr>
            <xdr:cNvPr id="81" name="TextBox 80">
              <a:extLst>
                <a:ext uri="{FF2B5EF4-FFF2-40B4-BE49-F238E27FC236}">
                  <a16:creationId xmlns:a16="http://schemas.microsoft.com/office/drawing/2014/main" id="{7ABC13CA-4B7B-40E7-AC04-A42D3CE5B4F2}"/>
                </a:ext>
              </a:extLst>
            </xdr:cNvPr>
            <xdr:cNvSpPr txBox="1"/>
          </xdr:nvSpPr>
          <xdr:spPr>
            <a:xfrm>
              <a:off x="7818968" y="19389460"/>
              <a:ext cx="7725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m:t>
                        </m:r>
                        <m:r>
                          <m:rPr>
                            <m:sty m:val="p"/>
                          </m:rP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m:t>v</m:t>
                        </m:r>
                      </m:e>
                      <m:sub>
                        <m:r>
                          <m:rPr>
                            <m:sty m:val="p"/>
                          </m:rP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m:t>Cs</m:t>
                        </m:r>
                      </m:sub>
                    </m:s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1" name="TextBox 80">
              <a:extLst>
                <a:ext uri="{FF2B5EF4-FFF2-40B4-BE49-F238E27FC236}">
                  <a16:creationId xmlns:a16="http://schemas.microsoft.com/office/drawing/2014/main" id="{7ABC13CA-4B7B-40E7-AC04-A42D3CE5B4F2}"/>
                </a:ext>
              </a:extLst>
            </xdr:cNvPr>
            <xdr:cNvSpPr txBox="1"/>
          </xdr:nvSpPr>
          <xdr:spPr>
            <a:xfrm>
              <a:off x="7818968" y="19389460"/>
              <a:ext cx="7725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〖∆v〗_Cs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562240</xdr:colOff>
      <xdr:row>97</xdr:row>
      <xdr:rowOff>138905</xdr:rowOff>
    </xdr:from>
    <xdr:ext cx="571500" cy="502920"/>
    <mc:AlternateContent xmlns:mc="http://schemas.openxmlformats.org/markup-compatibility/2006">
      <mc:Choice xmlns:a14="http://schemas.microsoft.com/office/drawing/2010/main" Requires="a14">
        <xdr:sp macro="" textlink="">
          <xdr:nvSpPr>
            <xdr:cNvPr id="82" name="TextBox 81">
              <a:extLst>
                <a:ext uri="{FF2B5EF4-FFF2-40B4-BE49-F238E27FC236}">
                  <a16:creationId xmlns:a16="http://schemas.microsoft.com/office/drawing/2014/main" id="{7A4E9B32-9ADC-4824-AA85-1714C604CA65}"/>
                </a:ext>
              </a:extLst>
            </xdr:cNvPr>
            <xdr:cNvSpPr txBox="1"/>
          </xdr:nvSpPr>
          <xdr:spPr>
            <a:xfrm>
              <a:off x="4438915"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𝐸</m:t>
                        </m:r>
                      </m:num>
                      <m:den>
                        <m:sSup>
                          <m:sSup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p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𝑐</m:t>
                            </m:r>
                          </m:e>
                          <m:sup>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2</m:t>
                            </m:r>
                          </m:sup>
                        </m:sSup>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2" name="TextBox 81">
              <a:extLst>
                <a:ext uri="{FF2B5EF4-FFF2-40B4-BE49-F238E27FC236}">
                  <a16:creationId xmlns:a16="http://schemas.microsoft.com/office/drawing/2014/main" id="{7A4E9B32-9ADC-4824-AA85-1714C604CA65}"/>
                </a:ext>
              </a:extLst>
            </xdr:cNvPr>
            <xdr:cNvSpPr txBox="1"/>
          </xdr:nvSpPr>
          <xdr:spPr>
            <a:xfrm>
              <a:off x="4438915"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𝐸/𝑐^2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669396</xdr:colOff>
      <xdr:row>97</xdr:row>
      <xdr:rowOff>138905</xdr:rowOff>
    </xdr:from>
    <xdr:ext cx="455083" cy="502920"/>
    <mc:AlternateContent xmlns:mc="http://schemas.openxmlformats.org/markup-compatibility/2006">
      <mc:Choice xmlns:a14="http://schemas.microsoft.com/office/drawing/2010/main" Requires="a14">
        <xdr:sp macro="" textlink="">
          <xdr:nvSpPr>
            <xdr:cNvPr id="83" name="TextBox 82">
              <a:extLst>
                <a:ext uri="{FF2B5EF4-FFF2-40B4-BE49-F238E27FC236}">
                  <a16:creationId xmlns:a16="http://schemas.microsoft.com/office/drawing/2014/main" id="{4B4908B8-DB95-4C94-808F-51E5441BAE68}"/>
                </a:ext>
              </a:extLst>
            </xdr:cNvPr>
            <xdr:cNvSpPr txBox="1"/>
          </xdr:nvSpPr>
          <xdr:spPr>
            <a:xfrm>
              <a:off x="9689571" y="26104055"/>
              <a:ext cx="4550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l-GR"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𝜔</m:t>
                        </m:r>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𝑐</m:t>
                        </m:r>
                      </m:den>
                    </m:f>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3" name="TextBox 82">
              <a:extLst>
                <a:ext uri="{FF2B5EF4-FFF2-40B4-BE49-F238E27FC236}">
                  <a16:creationId xmlns:a16="http://schemas.microsoft.com/office/drawing/2014/main" id="{4B4908B8-DB95-4C94-808F-51E5441BAE68}"/>
                </a:ext>
              </a:extLst>
            </xdr:cNvPr>
            <xdr:cNvSpPr txBox="1"/>
          </xdr:nvSpPr>
          <xdr:spPr>
            <a:xfrm>
              <a:off x="9689571" y="26104055"/>
              <a:ext cx="4550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l-GR"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𝜔</a:t>
              </a: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/𝑐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378354</xdr:colOff>
      <xdr:row>100</xdr:row>
      <xdr:rowOff>126998</xdr:rowOff>
    </xdr:from>
    <xdr:ext cx="1037167" cy="502920"/>
    <mc:AlternateContent xmlns:mc="http://schemas.openxmlformats.org/markup-compatibility/2006">
      <mc:Choice xmlns:a14="http://schemas.microsoft.com/office/drawing/2010/main" Requires="a14">
        <xdr:sp macro="" textlink="">
          <xdr:nvSpPr>
            <xdr:cNvPr id="84" name="TextBox 83">
              <a:extLst>
                <a:ext uri="{FF2B5EF4-FFF2-40B4-BE49-F238E27FC236}">
                  <a16:creationId xmlns:a16="http://schemas.microsoft.com/office/drawing/2014/main" id="{AF81E30A-AFB5-4338-A1A4-5ECDB58C3461}"/>
                </a:ext>
              </a:extLst>
            </xdr:cNvPr>
            <xdr:cNvSpPr txBox="1"/>
          </xdr:nvSpPr>
          <xdr:spPr>
            <a:xfrm>
              <a:off x="9398529" y="27349448"/>
              <a:ext cx="103716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𝜏</m:t>
                            </m:r>
                          </m:den>
                        </m:f>
                      </m:e>
                    </m:d>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1</m:t>
                        </m:r>
                      </m:num>
                      <m:den>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den>
                    </m:f>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4" name="TextBox 83">
              <a:extLst>
                <a:ext uri="{FF2B5EF4-FFF2-40B4-BE49-F238E27FC236}">
                  <a16:creationId xmlns:a16="http://schemas.microsoft.com/office/drawing/2014/main" id="{AF81E30A-AFB5-4338-A1A4-5ECDB58C3461}"/>
                </a:ext>
              </a:extLst>
            </xdr:cNvPr>
            <xdr:cNvSpPr txBox="1"/>
          </xdr:nvSpPr>
          <xdr:spPr>
            <a:xfrm>
              <a:off x="9398529" y="27349448"/>
              <a:ext cx="103716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(𝑡_𝑃/𝜏)  1/𝑙_𝑃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567532</xdr:colOff>
      <xdr:row>77</xdr:row>
      <xdr:rowOff>120385</xdr:rowOff>
    </xdr:from>
    <xdr:ext cx="571500" cy="502920"/>
    <mc:AlternateContent xmlns:mc="http://schemas.openxmlformats.org/markup-compatibility/2006">
      <mc:Choice xmlns:a14="http://schemas.microsoft.com/office/drawing/2010/main" Requires="a14">
        <xdr:sp macro="" textlink="">
          <xdr:nvSpPr>
            <xdr:cNvPr id="85" name="TextBox 84">
              <a:extLst>
                <a:ext uri="{FF2B5EF4-FFF2-40B4-BE49-F238E27FC236}">
                  <a16:creationId xmlns:a16="http://schemas.microsoft.com/office/drawing/2014/main" id="{9E8494FC-6A2F-49C3-8B44-93F9E42B25DC}"/>
                </a:ext>
              </a:extLst>
            </xdr:cNvPr>
            <xdr:cNvSpPr txBox="1"/>
          </xdr:nvSpPr>
          <xdr:spPr>
            <a:xfrm>
              <a:off x="9587707"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𝑓</m:t>
                        </m:r>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𝑐</m:t>
                        </m:r>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5" name="TextBox 84">
              <a:extLst>
                <a:ext uri="{FF2B5EF4-FFF2-40B4-BE49-F238E27FC236}">
                  <a16:creationId xmlns:a16="http://schemas.microsoft.com/office/drawing/2014/main" id="{9E8494FC-6A2F-49C3-8B44-93F9E42B25DC}"/>
                </a:ext>
              </a:extLst>
            </xdr:cNvPr>
            <xdr:cNvSpPr txBox="1"/>
          </xdr:nvSpPr>
          <xdr:spPr>
            <a:xfrm>
              <a:off x="9587707"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𝑓/𝑐</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607218</xdr:colOff>
      <xdr:row>77</xdr:row>
      <xdr:rowOff>120385</xdr:rowOff>
    </xdr:from>
    <xdr:ext cx="571500" cy="502920"/>
    <mc:AlternateContent xmlns:mc="http://schemas.openxmlformats.org/markup-compatibility/2006">
      <mc:Choice xmlns:a14="http://schemas.microsoft.com/office/drawing/2010/main" Requires="a14">
        <xdr:sp macro="" textlink="">
          <xdr:nvSpPr>
            <xdr:cNvPr id="86" name="TextBox 85">
              <a:extLst>
                <a:ext uri="{FF2B5EF4-FFF2-40B4-BE49-F238E27FC236}">
                  <a16:creationId xmlns:a16="http://schemas.microsoft.com/office/drawing/2014/main" id="{948EB6CB-4DBF-4D31-A145-4CB023C5B9C4}"/>
                </a:ext>
              </a:extLst>
            </xdr:cNvPr>
            <xdr:cNvSpPr txBox="1"/>
          </xdr:nvSpPr>
          <xdr:spPr>
            <a:xfrm>
              <a:off x="13056393"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h𝑐</m:t>
                        </m:r>
                      </m:num>
                      <m:den>
                        <m:r>
                          <a:rPr lang="el-GR"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𝜆</m:t>
                        </m:r>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6" name="TextBox 85">
              <a:extLst>
                <a:ext uri="{FF2B5EF4-FFF2-40B4-BE49-F238E27FC236}">
                  <a16:creationId xmlns:a16="http://schemas.microsoft.com/office/drawing/2014/main" id="{948EB6CB-4DBF-4D31-A145-4CB023C5B9C4}"/>
                </a:ext>
              </a:extLst>
            </xdr:cNvPr>
            <xdr:cNvSpPr txBox="1"/>
          </xdr:nvSpPr>
          <xdr:spPr>
            <a:xfrm>
              <a:off x="13056393"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ℎ𝑐/</a:t>
              </a:r>
              <a:r>
                <a:rPr lang="el-GR"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𝜆</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9</xdr:col>
      <xdr:colOff>566208</xdr:colOff>
      <xdr:row>77</xdr:row>
      <xdr:rowOff>120385</xdr:rowOff>
    </xdr:from>
    <xdr:ext cx="571500" cy="502920"/>
    <mc:AlternateContent xmlns:mc="http://schemas.openxmlformats.org/markup-compatibility/2006">
      <mc:Choice xmlns:a14="http://schemas.microsoft.com/office/drawing/2010/main" Requires="a14">
        <xdr:sp macro="" textlink="">
          <xdr:nvSpPr>
            <xdr:cNvPr id="87" name="TextBox 86">
              <a:extLst>
                <a:ext uri="{FF2B5EF4-FFF2-40B4-BE49-F238E27FC236}">
                  <a16:creationId xmlns:a16="http://schemas.microsoft.com/office/drawing/2014/main" id="{930E52B0-EAAC-42A5-BCA9-0438425F7CF7}"/>
                </a:ext>
              </a:extLst>
            </xdr:cNvPr>
            <xdr:cNvSpPr txBox="1"/>
          </xdr:nvSpPr>
          <xdr:spPr>
            <a:xfrm>
              <a:off x="14729883"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h𝑐</m:t>
                    </m:r>
                    <m:r>
                      <m:rPr>
                        <m:sty m:val="p"/>
                      </m:rPr>
                      <a:rPr lang="el-GR"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ν</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7" name="TextBox 86">
              <a:extLst>
                <a:ext uri="{FF2B5EF4-FFF2-40B4-BE49-F238E27FC236}">
                  <a16:creationId xmlns:a16="http://schemas.microsoft.com/office/drawing/2014/main" id="{930E52B0-EAAC-42A5-BCA9-0438425F7CF7}"/>
                </a:ext>
              </a:extLst>
            </xdr:cNvPr>
            <xdr:cNvSpPr txBox="1"/>
          </xdr:nvSpPr>
          <xdr:spPr>
            <a:xfrm>
              <a:off x="14729883"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ℎ𝑐</a:t>
              </a:r>
              <a:r>
                <a:rPr lang="el-GR"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ν</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477574</xdr:colOff>
      <xdr:row>80</xdr:row>
      <xdr:rowOff>117739</xdr:rowOff>
    </xdr:from>
    <xdr:ext cx="751417" cy="502920"/>
    <mc:AlternateContent xmlns:mc="http://schemas.openxmlformats.org/markup-compatibility/2006">
      <mc:Choice xmlns:a14="http://schemas.microsoft.com/office/drawing/2010/main" Requires="a14">
        <xdr:sp macro="" textlink="">
          <xdr:nvSpPr>
            <xdr:cNvPr id="88" name="TextBox 87">
              <a:extLst>
                <a:ext uri="{FF2B5EF4-FFF2-40B4-BE49-F238E27FC236}">
                  <a16:creationId xmlns:a16="http://schemas.microsoft.com/office/drawing/2014/main" id="{CEE7A25B-F0A5-44A1-901B-1E599F824B4D}"/>
                </a:ext>
              </a:extLst>
            </xdr:cNvPr>
            <xdr:cNvSpPr txBox="1"/>
          </xdr:nvSpPr>
          <xdr:spPr>
            <a:xfrm>
              <a:off x="9497749" y="20644114"/>
              <a:ext cx="75141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𝑇</m:t>
                            </m:r>
                          </m:den>
                        </m:f>
                      </m:e>
                    </m:d>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1</m:t>
                        </m:r>
                      </m:num>
                      <m:den>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den>
                    </m:f>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8" name="TextBox 87">
              <a:extLst>
                <a:ext uri="{FF2B5EF4-FFF2-40B4-BE49-F238E27FC236}">
                  <a16:creationId xmlns:a16="http://schemas.microsoft.com/office/drawing/2014/main" id="{CEE7A25B-F0A5-44A1-901B-1E599F824B4D}"/>
                </a:ext>
              </a:extLst>
            </xdr:cNvPr>
            <xdr:cNvSpPr txBox="1"/>
          </xdr:nvSpPr>
          <xdr:spPr>
            <a:xfrm>
              <a:off x="9497749" y="20644114"/>
              <a:ext cx="75141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(𝑡_𝑃/𝑇)  1/𝑙_𝑃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605897</xdr:colOff>
      <xdr:row>97</xdr:row>
      <xdr:rowOff>138905</xdr:rowOff>
    </xdr:from>
    <xdr:ext cx="571500" cy="502920"/>
    <mc:AlternateContent xmlns:mc="http://schemas.openxmlformats.org/markup-compatibility/2006">
      <mc:Choice xmlns:a14="http://schemas.microsoft.com/office/drawing/2010/main" Requires="a14">
        <xdr:sp macro="" textlink="">
          <xdr:nvSpPr>
            <xdr:cNvPr id="89" name="TextBox 88">
              <a:extLst>
                <a:ext uri="{FF2B5EF4-FFF2-40B4-BE49-F238E27FC236}">
                  <a16:creationId xmlns:a16="http://schemas.microsoft.com/office/drawing/2014/main" id="{17E31928-B802-44F4-8262-B88F26C3B207}"/>
                </a:ext>
              </a:extLst>
            </xdr:cNvPr>
            <xdr:cNvSpPr txBox="1"/>
          </xdr:nvSpPr>
          <xdr:spPr>
            <a:xfrm>
              <a:off x="13055072"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ℏ</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𝑐</m:t>
                        </m:r>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ƛ</m:t>
                        </m:r>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89" name="TextBox 88">
              <a:extLst>
                <a:ext uri="{FF2B5EF4-FFF2-40B4-BE49-F238E27FC236}">
                  <a16:creationId xmlns:a16="http://schemas.microsoft.com/office/drawing/2014/main" id="{17E31928-B802-44F4-8262-B88F26C3B207}"/>
                </a:ext>
              </a:extLst>
            </xdr:cNvPr>
            <xdr:cNvSpPr txBox="1"/>
          </xdr:nvSpPr>
          <xdr:spPr>
            <a:xfrm>
              <a:off x="13055072"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ℏ𝑐/ƛ</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9</xdr:col>
      <xdr:colOff>563562</xdr:colOff>
      <xdr:row>97</xdr:row>
      <xdr:rowOff>138905</xdr:rowOff>
    </xdr:from>
    <xdr:ext cx="571500" cy="502920"/>
    <mc:AlternateContent xmlns:mc="http://schemas.openxmlformats.org/markup-compatibility/2006">
      <mc:Choice xmlns:a14="http://schemas.microsoft.com/office/drawing/2010/main" Requires="a14">
        <xdr:sp macro="" textlink="">
          <xdr:nvSpPr>
            <xdr:cNvPr id="90" name="TextBox 89">
              <a:extLst>
                <a:ext uri="{FF2B5EF4-FFF2-40B4-BE49-F238E27FC236}">
                  <a16:creationId xmlns:a16="http://schemas.microsoft.com/office/drawing/2014/main" id="{6FBDD90A-6485-46A3-A34D-732D8C9AF535}"/>
                </a:ext>
              </a:extLst>
            </xdr:cNvPr>
            <xdr:cNvSpPr txBox="1"/>
          </xdr:nvSpPr>
          <xdr:spPr>
            <a:xfrm>
              <a:off x="14727237"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ℏ</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𝑐𝑘</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0" name="TextBox 89">
              <a:extLst>
                <a:ext uri="{FF2B5EF4-FFF2-40B4-BE49-F238E27FC236}">
                  <a16:creationId xmlns:a16="http://schemas.microsoft.com/office/drawing/2014/main" id="{6FBDD90A-6485-46A3-A34D-732D8C9AF535}"/>
                </a:ext>
              </a:extLst>
            </xdr:cNvPr>
            <xdr:cNvSpPr txBox="1"/>
          </xdr:nvSpPr>
          <xdr:spPr>
            <a:xfrm>
              <a:off x="14727237" y="26104055"/>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ℏ𝑐𝑘</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550334</xdr:colOff>
      <xdr:row>77</xdr:row>
      <xdr:rowOff>120385</xdr:rowOff>
    </xdr:from>
    <xdr:ext cx="571500" cy="502920"/>
    <mc:AlternateContent xmlns:mc="http://schemas.openxmlformats.org/markup-compatibility/2006">
      <mc:Choice xmlns:a14="http://schemas.microsoft.com/office/drawing/2010/main" Requires="a14">
        <xdr:sp macro="" textlink="">
          <xdr:nvSpPr>
            <xdr:cNvPr id="91" name="TextBox 90">
              <a:extLst>
                <a:ext uri="{FF2B5EF4-FFF2-40B4-BE49-F238E27FC236}">
                  <a16:creationId xmlns:a16="http://schemas.microsoft.com/office/drawing/2014/main" id="{436894F1-C401-4EAA-87F0-5833A6545547}"/>
                </a:ext>
              </a:extLst>
            </xdr:cNvPr>
            <xdr:cNvSpPr txBox="1"/>
          </xdr:nvSpPr>
          <xdr:spPr>
            <a:xfrm>
              <a:off x="4427009"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𝐸</m:t>
                        </m:r>
                      </m:num>
                      <m:den>
                        <m:sSup>
                          <m:sSup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p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𝑐</m:t>
                            </m:r>
                          </m:e>
                          <m:sup>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2</m:t>
                            </m:r>
                          </m:sup>
                        </m:sSup>
                      </m:den>
                    </m:f>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1" name="TextBox 90">
              <a:extLst>
                <a:ext uri="{FF2B5EF4-FFF2-40B4-BE49-F238E27FC236}">
                  <a16:creationId xmlns:a16="http://schemas.microsoft.com/office/drawing/2014/main" id="{436894F1-C401-4EAA-87F0-5833A6545547}"/>
                </a:ext>
              </a:extLst>
            </xdr:cNvPr>
            <xdr:cNvSpPr txBox="1"/>
          </xdr:nvSpPr>
          <xdr:spPr>
            <a:xfrm>
              <a:off x="4427009" y="19389460"/>
              <a:ext cx="57150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𝐸/𝑐^2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336021</xdr:colOff>
      <xdr:row>80</xdr:row>
      <xdr:rowOff>117739</xdr:rowOff>
    </xdr:from>
    <xdr:ext cx="1090084" cy="502920"/>
    <mc:AlternateContent xmlns:mc="http://schemas.openxmlformats.org/markup-compatibility/2006">
      <mc:Choice xmlns:a14="http://schemas.microsoft.com/office/drawing/2010/main" Requires="a14">
        <xdr:sp macro="" textlink="">
          <xdr:nvSpPr>
            <xdr:cNvPr id="92" name="TextBox 91">
              <a:extLst>
                <a:ext uri="{FF2B5EF4-FFF2-40B4-BE49-F238E27FC236}">
                  <a16:creationId xmlns:a16="http://schemas.microsoft.com/office/drawing/2014/main" id="{2F0B5A3D-161D-4D6B-81F7-E3EE7BBD3DD7}"/>
                </a:ext>
              </a:extLst>
            </xdr:cNvPr>
            <xdr:cNvSpPr txBox="1"/>
          </xdr:nvSpPr>
          <xdr:spPr>
            <a:xfrm>
              <a:off x="11070696" y="20644114"/>
              <a:ext cx="109008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2</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𝜋</m:t>
                    </m:r>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l-GR"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𝜆</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𝐸</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2" name="TextBox 91">
              <a:extLst>
                <a:ext uri="{FF2B5EF4-FFF2-40B4-BE49-F238E27FC236}">
                  <a16:creationId xmlns:a16="http://schemas.microsoft.com/office/drawing/2014/main" id="{2F0B5A3D-161D-4D6B-81F7-E3EE7BBD3DD7}"/>
                </a:ext>
              </a:extLst>
            </xdr:cNvPr>
            <xdr:cNvSpPr txBox="1"/>
          </xdr:nvSpPr>
          <xdr:spPr>
            <a:xfrm>
              <a:off x="11070696" y="20644114"/>
              <a:ext cx="109008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2𝜋(𝑙_𝑃/</a:t>
              </a:r>
              <a:r>
                <a:rPr lang="el-GR"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𝜆)</a:t>
              </a: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 𝐸_𝑃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635000</xdr:colOff>
      <xdr:row>83</xdr:row>
      <xdr:rowOff>84667</xdr:rowOff>
    </xdr:from>
    <xdr:ext cx="571500" cy="529167"/>
    <mc:AlternateContent xmlns:mc="http://schemas.openxmlformats.org/markup-compatibility/2006">
      <mc:Choice xmlns:a14="http://schemas.microsoft.com/office/drawing/2010/main" Requires="a14">
        <xdr:sp macro="" textlink="">
          <xdr:nvSpPr>
            <xdr:cNvPr id="93" name="TextBox 92">
              <a:extLst>
                <a:ext uri="{FF2B5EF4-FFF2-40B4-BE49-F238E27FC236}">
                  <a16:creationId xmlns:a16="http://schemas.microsoft.com/office/drawing/2014/main" id="{81C1AE66-A519-4FD0-A03C-0C57C4D2A0EC}"/>
                </a:ext>
              </a:extLst>
            </xdr:cNvPr>
            <xdr:cNvSpPr txBox="1"/>
          </xdr:nvSpPr>
          <xdr:spPr>
            <a:xfrm>
              <a:off x="2797175" y="21868342"/>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fPr>
                      <m:num>
                        <m:r>
                          <a:rPr lang="el-GR" sz="1400" b="0" i="1" baseline="0">
                            <a:solidFill>
                              <a:srgbClr val="03428E"/>
                            </a:solidFill>
                            <a:effectLst/>
                            <a:latin typeface="Cambria Math" panose="02040503050406030204" pitchFamily="18" charset="0"/>
                            <a:ea typeface="Cambria Math" panose="02040503050406030204" pitchFamily="18" charset="0"/>
                            <a:cs typeface="+mn-cs"/>
                          </a:rPr>
                          <m:t>𝜆</m:t>
                        </m:r>
                      </m:num>
                      <m:den>
                        <m:sSub>
                          <m:sSub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sSubPr>
                          <m:e>
                            <m:r>
                              <a:rPr lang="en-US" sz="1400" b="0" i="1" baseline="0">
                                <a:solidFill>
                                  <a:srgbClr val="03428E"/>
                                </a:solidFill>
                                <a:effectLst/>
                                <a:latin typeface="Cambria Math" panose="02040503050406030204" pitchFamily="18" charset="0"/>
                                <a:ea typeface="Cambria Math" panose="02040503050406030204" pitchFamily="18" charset="0"/>
                                <a:cs typeface="+mn-cs"/>
                              </a:rPr>
                              <m:t>𝑙</m:t>
                            </m:r>
                          </m:e>
                          <m:sub>
                            <m:r>
                              <a:rPr lang="en-US" sz="1400" b="0" i="1" baseline="0">
                                <a:solidFill>
                                  <a:srgbClr val="03428E"/>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rgbClr val="03428E"/>
                </a:solidFill>
                <a:latin typeface="Cambria Math" panose="02040503050406030204" pitchFamily="18" charset="0"/>
                <a:ea typeface="Cambria Math" panose="02040503050406030204" pitchFamily="18" charset="0"/>
              </a:endParaRPr>
            </a:p>
          </xdr:txBody>
        </xdr:sp>
      </mc:Choice>
      <mc:Fallback>
        <xdr:sp macro="" textlink="">
          <xdr:nvSpPr>
            <xdr:cNvPr id="93" name="TextBox 92">
              <a:extLst>
                <a:ext uri="{FF2B5EF4-FFF2-40B4-BE49-F238E27FC236}">
                  <a16:creationId xmlns:a16="http://schemas.microsoft.com/office/drawing/2014/main" id="{81C1AE66-A519-4FD0-A03C-0C57C4D2A0EC}"/>
                </a:ext>
              </a:extLst>
            </xdr:cNvPr>
            <xdr:cNvSpPr txBox="1"/>
          </xdr:nvSpPr>
          <xdr:spPr>
            <a:xfrm>
              <a:off x="2797175" y="21868342"/>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l-GR" sz="1400" b="0" i="0" baseline="0">
                  <a:solidFill>
                    <a:srgbClr val="03428E"/>
                  </a:solidFill>
                  <a:effectLst/>
                  <a:latin typeface="Cambria Math" panose="02040503050406030204" pitchFamily="18" charset="0"/>
                  <a:ea typeface="Cambria Math" panose="02040503050406030204" pitchFamily="18" charset="0"/>
                  <a:cs typeface="+mn-cs"/>
                </a:rPr>
                <a:t>𝜆</a:t>
              </a:r>
              <a:r>
                <a:rPr lang="en-US" sz="1400" b="0" i="0" baseline="0">
                  <a:solidFill>
                    <a:srgbClr val="03428E"/>
                  </a:solidFill>
                  <a:effectLst/>
                  <a:latin typeface="Cambria Math" panose="02040503050406030204" pitchFamily="18" charset="0"/>
                  <a:ea typeface="Cambria Math" panose="02040503050406030204" pitchFamily="18" charset="0"/>
                  <a:cs typeface="+mn-cs"/>
                </a:rPr>
                <a:t>/𝑙_𝑃 </a:t>
              </a:r>
              <a:endParaRPr lang="en-US" sz="1400">
                <a:solidFill>
                  <a:srgbClr val="03428E"/>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406137</xdr:colOff>
      <xdr:row>80</xdr:row>
      <xdr:rowOff>117739</xdr:rowOff>
    </xdr:from>
    <xdr:ext cx="920750" cy="502920"/>
    <mc:AlternateContent xmlns:mc="http://schemas.openxmlformats.org/markup-compatibility/2006">
      <mc:Choice xmlns:a14="http://schemas.microsoft.com/office/drawing/2010/main" Requires="a14">
        <xdr:sp macro="" textlink="">
          <xdr:nvSpPr>
            <xdr:cNvPr id="94" name="TextBox 93">
              <a:extLst>
                <a:ext uri="{FF2B5EF4-FFF2-40B4-BE49-F238E27FC236}">
                  <a16:creationId xmlns:a16="http://schemas.microsoft.com/office/drawing/2014/main" id="{3CA91AC6-26EB-41F5-B3B7-4DEB1120CAA5}"/>
                </a:ext>
              </a:extLst>
            </xdr:cNvPr>
            <xdr:cNvSpPr txBox="1"/>
          </xdr:nvSpPr>
          <xdr:spPr>
            <a:xfrm>
              <a:off x="5997312" y="20644114"/>
              <a:ext cx="92075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l-GR"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𝜆</m:t>
                            </m:r>
                          </m:num>
                          <m:den>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4" name="TextBox 93">
              <a:extLst>
                <a:ext uri="{FF2B5EF4-FFF2-40B4-BE49-F238E27FC236}">
                  <a16:creationId xmlns:a16="http://schemas.microsoft.com/office/drawing/2014/main" id="{3CA91AC6-26EB-41F5-B3B7-4DEB1120CAA5}"/>
                </a:ext>
              </a:extLst>
            </xdr:cNvPr>
            <xdr:cNvSpPr txBox="1"/>
          </xdr:nvSpPr>
          <xdr:spPr>
            <a:xfrm>
              <a:off x="5997312" y="20644114"/>
              <a:ext cx="92075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a:t>
              </a:r>
              <a:r>
                <a:rPr lang="el-GR"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𝜆</a:t>
              </a: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/𝑙_𝑃 ) 𝑡_𝑃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485511</xdr:colOff>
      <xdr:row>80</xdr:row>
      <xdr:rowOff>117739</xdr:rowOff>
    </xdr:from>
    <xdr:ext cx="751417" cy="502920"/>
    <mc:AlternateContent xmlns:mc="http://schemas.openxmlformats.org/markup-compatibility/2006">
      <mc:Choice xmlns:a14="http://schemas.microsoft.com/office/drawing/2010/main" Requires="a14">
        <xdr:sp macro="" textlink="">
          <xdr:nvSpPr>
            <xdr:cNvPr id="95" name="TextBox 94">
              <a:extLst>
                <a:ext uri="{FF2B5EF4-FFF2-40B4-BE49-F238E27FC236}">
                  <a16:creationId xmlns:a16="http://schemas.microsoft.com/office/drawing/2014/main" id="{9C94F29C-5DFE-43EA-8914-C94006A3773B}"/>
                </a:ext>
              </a:extLst>
            </xdr:cNvPr>
            <xdr:cNvSpPr txBox="1"/>
          </xdr:nvSpPr>
          <xdr:spPr>
            <a:xfrm>
              <a:off x="2647686" y="20644114"/>
              <a:ext cx="75141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𝑇</m:t>
                            </m:r>
                          </m:num>
                          <m:den>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5" name="TextBox 94">
              <a:extLst>
                <a:ext uri="{FF2B5EF4-FFF2-40B4-BE49-F238E27FC236}">
                  <a16:creationId xmlns:a16="http://schemas.microsoft.com/office/drawing/2014/main" id="{9C94F29C-5DFE-43EA-8914-C94006A3773B}"/>
                </a:ext>
              </a:extLst>
            </xdr:cNvPr>
            <xdr:cNvSpPr txBox="1"/>
          </xdr:nvSpPr>
          <xdr:spPr>
            <a:xfrm>
              <a:off x="2647686" y="20644114"/>
              <a:ext cx="75141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(𝑇/𝑡_𝑃 ) 𝑙_𝑃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353220</xdr:colOff>
      <xdr:row>100</xdr:row>
      <xdr:rowOff>126998</xdr:rowOff>
    </xdr:from>
    <xdr:ext cx="1090084" cy="502920"/>
    <mc:AlternateContent xmlns:mc="http://schemas.openxmlformats.org/markup-compatibility/2006">
      <mc:Choice xmlns:a14="http://schemas.microsoft.com/office/drawing/2010/main" Requires="a14">
        <xdr:sp macro="" textlink="">
          <xdr:nvSpPr>
            <xdr:cNvPr id="96" name="TextBox 95">
              <a:extLst>
                <a:ext uri="{FF2B5EF4-FFF2-40B4-BE49-F238E27FC236}">
                  <a16:creationId xmlns:a16="http://schemas.microsoft.com/office/drawing/2014/main" id="{0E51D990-D3C8-4A2D-8022-1FA56787FB23}"/>
                </a:ext>
              </a:extLst>
            </xdr:cNvPr>
            <xdr:cNvSpPr txBox="1"/>
          </xdr:nvSpPr>
          <xdr:spPr>
            <a:xfrm>
              <a:off x="11087895" y="27349448"/>
              <a:ext cx="109008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ƛ</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𝐸</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6" name="TextBox 95">
              <a:extLst>
                <a:ext uri="{FF2B5EF4-FFF2-40B4-BE49-F238E27FC236}">
                  <a16:creationId xmlns:a16="http://schemas.microsoft.com/office/drawing/2014/main" id="{0E51D990-D3C8-4A2D-8022-1FA56787FB23}"/>
                </a:ext>
              </a:extLst>
            </xdr:cNvPr>
            <xdr:cNvSpPr txBox="1"/>
          </xdr:nvSpPr>
          <xdr:spPr>
            <a:xfrm>
              <a:off x="11087895" y="27349448"/>
              <a:ext cx="109008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(𝑙_𝑃/ƛ) 𝐸_𝑃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37042</xdr:colOff>
      <xdr:row>80</xdr:row>
      <xdr:rowOff>223572</xdr:rowOff>
    </xdr:from>
    <xdr:ext cx="941915" cy="502920"/>
    <mc:AlternateContent xmlns:mc="http://schemas.openxmlformats.org/markup-compatibility/2006">
      <mc:Choice xmlns:a14="http://schemas.microsoft.com/office/drawing/2010/main" Requires="a14">
        <xdr:sp macro="" textlink="">
          <xdr:nvSpPr>
            <xdr:cNvPr id="97" name="TextBox 96">
              <a:extLst>
                <a:ext uri="{FF2B5EF4-FFF2-40B4-BE49-F238E27FC236}">
                  <a16:creationId xmlns:a16="http://schemas.microsoft.com/office/drawing/2014/main" id="{EBCD042A-D85F-439D-85AA-D75FA3BFEA52}"/>
                </a:ext>
              </a:extLst>
            </xdr:cNvPr>
            <xdr:cNvSpPr txBox="1"/>
          </xdr:nvSpPr>
          <xdr:spPr>
            <a:xfrm>
              <a:off x="3913717" y="20749947"/>
              <a:ext cx="94191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2</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𝜋</m:t>
                    </m:r>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𝑇</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7" name="TextBox 96">
              <a:extLst>
                <a:ext uri="{FF2B5EF4-FFF2-40B4-BE49-F238E27FC236}">
                  <a16:creationId xmlns:a16="http://schemas.microsoft.com/office/drawing/2014/main" id="{EBCD042A-D85F-439D-85AA-D75FA3BFEA52}"/>
                </a:ext>
              </a:extLst>
            </xdr:cNvPr>
            <xdr:cNvSpPr txBox="1"/>
          </xdr:nvSpPr>
          <xdr:spPr>
            <a:xfrm>
              <a:off x="3913717" y="20749947"/>
              <a:ext cx="94191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2𝜋(𝑡_𝑃/𝑇) 𝑚_𝑃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819150</xdr:colOff>
      <xdr:row>80</xdr:row>
      <xdr:rowOff>16140</xdr:rowOff>
    </xdr:from>
    <xdr:ext cx="937683" cy="502920"/>
    <mc:AlternateContent xmlns:mc="http://schemas.openxmlformats.org/markup-compatibility/2006">
      <mc:Choice xmlns:a14="http://schemas.microsoft.com/office/drawing/2010/main" Requires="a14">
        <xdr:sp macro="" textlink="">
          <xdr:nvSpPr>
            <xdr:cNvPr id="98" name="TextBox 97">
              <a:extLst>
                <a:ext uri="{FF2B5EF4-FFF2-40B4-BE49-F238E27FC236}">
                  <a16:creationId xmlns:a16="http://schemas.microsoft.com/office/drawing/2014/main" id="{67AD2E97-781C-4695-9DC5-E9A77A23D8CF}"/>
                </a:ext>
              </a:extLst>
            </xdr:cNvPr>
            <xdr:cNvSpPr txBox="1"/>
          </xdr:nvSpPr>
          <xdr:spPr>
            <a:xfrm>
              <a:off x="4695825" y="20542515"/>
              <a:ext cx="9376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2</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𝜋</m:t>
                    </m:r>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l-GR"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𝜆</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8" name="TextBox 97">
              <a:extLst>
                <a:ext uri="{FF2B5EF4-FFF2-40B4-BE49-F238E27FC236}">
                  <a16:creationId xmlns:a16="http://schemas.microsoft.com/office/drawing/2014/main" id="{67AD2E97-781C-4695-9DC5-E9A77A23D8CF}"/>
                </a:ext>
              </a:extLst>
            </xdr:cNvPr>
            <xdr:cNvSpPr txBox="1"/>
          </xdr:nvSpPr>
          <xdr:spPr>
            <a:xfrm>
              <a:off x="4695825" y="20542515"/>
              <a:ext cx="93768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2𝜋(𝑙_𝑃/</a:t>
              </a:r>
              <a:r>
                <a:rPr lang="el-GR"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𝜆)</a:t>
              </a: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 𝑚_𝑃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137584</xdr:colOff>
      <xdr:row>100</xdr:row>
      <xdr:rowOff>126998</xdr:rowOff>
    </xdr:from>
    <xdr:ext cx="740834" cy="502920"/>
    <mc:AlternateContent xmlns:mc="http://schemas.openxmlformats.org/markup-compatibility/2006">
      <mc:Choice xmlns:a14="http://schemas.microsoft.com/office/drawing/2010/main" Requires="a14">
        <xdr:sp macro="" textlink="">
          <xdr:nvSpPr>
            <xdr:cNvPr id="99" name="TextBox 98">
              <a:extLst>
                <a:ext uri="{FF2B5EF4-FFF2-40B4-BE49-F238E27FC236}">
                  <a16:creationId xmlns:a16="http://schemas.microsoft.com/office/drawing/2014/main" id="{AFB61E08-D3CB-48FE-A542-B5555273D0BA}"/>
                </a:ext>
              </a:extLst>
            </xdr:cNvPr>
            <xdr:cNvSpPr txBox="1"/>
          </xdr:nvSpPr>
          <xdr:spPr>
            <a:xfrm>
              <a:off x="4014259" y="27349448"/>
              <a:ext cx="7408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ƛ</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99" name="TextBox 98">
              <a:extLst>
                <a:ext uri="{FF2B5EF4-FFF2-40B4-BE49-F238E27FC236}">
                  <a16:creationId xmlns:a16="http://schemas.microsoft.com/office/drawing/2014/main" id="{AFB61E08-D3CB-48FE-A542-B5555273D0BA}"/>
                </a:ext>
              </a:extLst>
            </xdr:cNvPr>
            <xdr:cNvSpPr txBox="1"/>
          </xdr:nvSpPr>
          <xdr:spPr>
            <a:xfrm>
              <a:off x="4014259" y="27349448"/>
              <a:ext cx="7408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(𝑙_𝑃/ƛ) 𝑚_𝑃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132292</xdr:colOff>
      <xdr:row>100</xdr:row>
      <xdr:rowOff>126998</xdr:rowOff>
    </xdr:from>
    <xdr:ext cx="740834" cy="502920"/>
    <mc:AlternateContent xmlns:mc="http://schemas.openxmlformats.org/markup-compatibility/2006">
      <mc:Choice xmlns:a14="http://schemas.microsoft.com/office/drawing/2010/main" Requires="a14">
        <xdr:sp macro="" textlink="">
          <xdr:nvSpPr>
            <xdr:cNvPr id="100" name="TextBox 99">
              <a:extLst>
                <a:ext uri="{FF2B5EF4-FFF2-40B4-BE49-F238E27FC236}">
                  <a16:creationId xmlns:a16="http://schemas.microsoft.com/office/drawing/2014/main" id="{F8FE9E22-B2CA-467F-9B43-5BF24710014F}"/>
                </a:ext>
              </a:extLst>
            </xdr:cNvPr>
            <xdr:cNvSpPr txBox="1"/>
          </xdr:nvSpPr>
          <xdr:spPr>
            <a:xfrm>
              <a:off x="2294467" y="27349448"/>
              <a:ext cx="7408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00" name="TextBox 99">
              <a:extLst>
                <a:ext uri="{FF2B5EF4-FFF2-40B4-BE49-F238E27FC236}">
                  <a16:creationId xmlns:a16="http://schemas.microsoft.com/office/drawing/2014/main" id="{F8FE9E22-B2CA-467F-9B43-5BF24710014F}"/>
                </a:ext>
              </a:extLst>
            </xdr:cNvPr>
            <xdr:cNvSpPr txBox="1"/>
          </xdr:nvSpPr>
          <xdr:spPr>
            <a:xfrm>
              <a:off x="2294467" y="27349448"/>
              <a:ext cx="7408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(𝑚_𝑃/𝑚) 𝑙_𝑃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71434</xdr:colOff>
      <xdr:row>100</xdr:row>
      <xdr:rowOff>126998</xdr:rowOff>
    </xdr:from>
    <xdr:ext cx="804335" cy="502920"/>
    <mc:AlternateContent xmlns:mc="http://schemas.openxmlformats.org/markup-compatibility/2006">
      <mc:Choice xmlns:a14="http://schemas.microsoft.com/office/drawing/2010/main" Requires="a14">
        <xdr:sp macro="" textlink="">
          <xdr:nvSpPr>
            <xdr:cNvPr id="101" name="TextBox 100">
              <a:extLst>
                <a:ext uri="{FF2B5EF4-FFF2-40B4-BE49-F238E27FC236}">
                  <a16:creationId xmlns:a16="http://schemas.microsoft.com/office/drawing/2014/main" id="{53A708C3-0661-4B24-8DBC-D1B8BA3367DD}"/>
                </a:ext>
              </a:extLst>
            </xdr:cNvPr>
            <xdr:cNvSpPr txBox="1"/>
          </xdr:nvSpPr>
          <xdr:spPr>
            <a:xfrm>
              <a:off x="5662609" y="27349448"/>
              <a:ext cx="80433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ƛ</m:t>
                            </m:r>
                          </m:num>
                          <m:den>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01" name="TextBox 100">
              <a:extLst>
                <a:ext uri="{FF2B5EF4-FFF2-40B4-BE49-F238E27FC236}">
                  <a16:creationId xmlns:a16="http://schemas.microsoft.com/office/drawing/2014/main" id="{53A708C3-0661-4B24-8DBC-D1B8BA3367DD}"/>
                </a:ext>
              </a:extLst>
            </xdr:cNvPr>
            <xdr:cNvSpPr txBox="1"/>
          </xdr:nvSpPr>
          <xdr:spPr>
            <a:xfrm>
              <a:off x="5662609" y="27349448"/>
              <a:ext cx="80433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(ƛ/𝑙_𝑃 ) 𝑡_𝑃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603250</xdr:colOff>
      <xdr:row>83</xdr:row>
      <xdr:rowOff>95250</xdr:rowOff>
    </xdr:from>
    <xdr:ext cx="571500" cy="529167"/>
    <mc:AlternateContent xmlns:mc="http://schemas.openxmlformats.org/markup-compatibility/2006">
      <mc:Choice xmlns:a14="http://schemas.microsoft.com/office/drawing/2010/main" Requires="a14">
        <xdr:sp macro="" textlink="">
          <xdr:nvSpPr>
            <xdr:cNvPr id="102" name="TextBox 101">
              <a:extLst>
                <a:ext uri="{FF2B5EF4-FFF2-40B4-BE49-F238E27FC236}">
                  <a16:creationId xmlns:a16="http://schemas.microsoft.com/office/drawing/2014/main" id="{D41F0519-D640-4D85-A7C6-DA375AFF8CF7}"/>
                </a:ext>
              </a:extLst>
            </xdr:cNvPr>
            <xdr:cNvSpPr txBox="1"/>
          </xdr:nvSpPr>
          <xdr:spPr>
            <a:xfrm>
              <a:off x="4479925" y="21878925"/>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fPr>
                      <m:num>
                        <m:r>
                          <a:rPr lang="en-US" sz="1400" b="0" i="1" baseline="0">
                            <a:solidFill>
                              <a:srgbClr val="03428E"/>
                            </a:solidFill>
                            <a:effectLst/>
                            <a:latin typeface="Cambria Math" panose="02040503050406030204" pitchFamily="18" charset="0"/>
                            <a:ea typeface="Cambria Math" panose="02040503050406030204" pitchFamily="18" charset="0"/>
                            <a:cs typeface="+mn-cs"/>
                          </a:rPr>
                          <m:t>𝑚</m:t>
                        </m:r>
                      </m:num>
                      <m:den>
                        <m:sSub>
                          <m:sSub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sSubPr>
                          <m:e>
                            <m:r>
                              <a:rPr lang="en-US" sz="1400" b="0" i="1" baseline="0">
                                <a:solidFill>
                                  <a:srgbClr val="03428E"/>
                                </a:solidFill>
                                <a:effectLst/>
                                <a:latin typeface="Cambria Math" panose="02040503050406030204" pitchFamily="18" charset="0"/>
                                <a:ea typeface="Cambria Math" panose="02040503050406030204" pitchFamily="18" charset="0"/>
                                <a:cs typeface="+mn-cs"/>
                              </a:rPr>
                              <m:t>𝑚</m:t>
                            </m:r>
                          </m:e>
                          <m:sub>
                            <m:r>
                              <a:rPr lang="en-US" sz="1400" b="0" i="1" baseline="0">
                                <a:solidFill>
                                  <a:srgbClr val="03428E"/>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rgbClr val="03428E"/>
                </a:solidFill>
                <a:latin typeface="Cambria Math" panose="02040503050406030204" pitchFamily="18" charset="0"/>
                <a:ea typeface="Cambria Math" panose="02040503050406030204" pitchFamily="18" charset="0"/>
              </a:endParaRPr>
            </a:p>
          </xdr:txBody>
        </xdr:sp>
      </mc:Choice>
      <mc:Fallback>
        <xdr:sp macro="" textlink="">
          <xdr:nvSpPr>
            <xdr:cNvPr id="102" name="TextBox 101">
              <a:extLst>
                <a:ext uri="{FF2B5EF4-FFF2-40B4-BE49-F238E27FC236}">
                  <a16:creationId xmlns:a16="http://schemas.microsoft.com/office/drawing/2014/main" id="{D41F0519-D640-4D85-A7C6-DA375AFF8CF7}"/>
                </a:ext>
              </a:extLst>
            </xdr:cNvPr>
            <xdr:cNvSpPr txBox="1"/>
          </xdr:nvSpPr>
          <xdr:spPr>
            <a:xfrm>
              <a:off x="4479925" y="21878925"/>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rgbClr val="03428E"/>
                  </a:solidFill>
                  <a:effectLst/>
                  <a:latin typeface="Cambria Math" panose="02040503050406030204" pitchFamily="18" charset="0"/>
                  <a:ea typeface="Cambria Math" panose="02040503050406030204" pitchFamily="18" charset="0"/>
                  <a:cs typeface="+mn-cs"/>
                </a:rPr>
                <a:t>𝑚/𝑚_𝑃 </a:t>
              </a:r>
              <a:endParaRPr lang="en-US" sz="1400">
                <a:solidFill>
                  <a:srgbClr val="03428E"/>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709084</xdr:colOff>
      <xdr:row>83</xdr:row>
      <xdr:rowOff>105834</xdr:rowOff>
    </xdr:from>
    <xdr:ext cx="571500" cy="529167"/>
    <mc:AlternateContent xmlns:mc="http://schemas.openxmlformats.org/markup-compatibility/2006">
      <mc:Choice xmlns:a14="http://schemas.microsoft.com/office/drawing/2010/main" Requires="a14">
        <xdr:sp macro="" textlink="">
          <xdr:nvSpPr>
            <xdr:cNvPr id="103" name="TextBox 102">
              <a:extLst>
                <a:ext uri="{FF2B5EF4-FFF2-40B4-BE49-F238E27FC236}">
                  <a16:creationId xmlns:a16="http://schemas.microsoft.com/office/drawing/2014/main" id="{1B8347E5-9F52-45B3-9537-C11671B731D7}"/>
                </a:ext>
              </a:extLst>
            </xdr:cNvPr>
            <xdr:cNvSpPr txBox="1"/>
          </xdr:nvSpPr>
          <xdr:spPr>
            <a:xfrm>
              <a:off x="6300259" y="21889509"/>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fPr>
                      <m:num>
                        <m:r>
                          <a:rPr lang="en-US" sz="1400" b="0" i="1" baseline="0">
                            <a:solidFill>
                              <a:srgbClr val="03428E"/>
                            </a:solidFill>
                            <a:effectLst/>
                            <a:latin typeface="Cambria Math" panose="02040503050406030204" pitchFamily="18" charset="0"/>
                            <a:ea typeface="Cambria Math" panose="02040503050406030204" pitchFamily="18" charset="0"/>
                            <a:cs typeface="+mn-cs"/>
                          </a:rPr>
                          <m:t>𝑇</m:t>
                        </m:r>
                      </m:num>
                      <m:den>
                        <m:sSub>
                          <m:sSub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sSubPr>
                          <m:e>
                            <m:r>
                              <a:rPr lang="en-US" sz="1400" b="0" i="1" baseline="0">
                                <a:solidFill>
                                  <a:srgbClr val="03428E"/>
                                </a:solidFill>
                                <a:effectLst/>
                                <a:latin typeface="Cambria Math" panose="02040503050406030204" pitchFamily="18" charset="0"/>
                                <a:ea typeface="Cambria Math" panose="02040503050406030204" pitchFamily="18" charset="0"/>
                                <a:cs typeface="+mn-cs"/>
                              </a:rPr>
                              <m:t>𝑡</m:t>
                            </m:r>
                          </m:e>
                          <m:sub>
                            <m:r>
                              <a:rPr lang="en-US" sz="1400" b="0" i="1" baseline="0">
                                <a:solidFill>
                                  <a:srgbClr val="03428E"/>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rgbClr val="03428E"/>
                </a:solidFill>
                <a:latin typeface="Cambria Math" panose="02040503050406030204" pitchFamily="18" charset="0"/>
                <a:ea typeface="Cambria Math" panose="02040503050406030204" pitchFamily="18" charset="0"/>
              </a:endParaRPr>
            </a:p>
          </xdr:txBody>
        </xdr:sp>
      </mc:Choice>
      <mc:Fallback>
        <xdr:sp macro="" textlink="">
          <xdr:nvSpPr>
            <xdr:cNvPr id="103" name="TextBox 102">
              <a:extLst>
                <a:ext uri="{FF2B5EF4-FFF2-40B4-BE49-F238E27FC236}">
                  <a16:creationId xmlns:a16="http://schemas.microsoft.com/office/drawing/2014/main" id="{1B8347E5-9F52-45B3-9537-C11671B731D7}"/>
                </a:ext>
              </a:extLst>
            </xdr:cNvPr>
            <xdr:cNvSpPr txBox="1"/>
          </xdr:nvSpPr>
          <xdr:spPr>
            <a:xfrm>
              <a:off x="6300259" y="21889509"/>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rgbClr val="03428E"/>
                  </a:solidFill>
                  <a:effectLst/>
                  <a:latin typeface="Cambria Math" panose="02040503050406030204" pitchFamily="18" charset="0"/>
                  <a:ea typeface="Cambria Math" panose="02040503050406030204" pitchFamily="18" charset="0"/>
                  <a:cs typeface="+mn-cs"/>
                </a:rPr>
                <a:t>𝑇/𝑡_𝑃 </a:t>
              </a:r>
              <a:endParaRPr lang="en-US" sz="1400">
                <a:solidFill>
                  <a:srgbClr val="03428E"/>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666750</xdr:colOff>
      <xdr:row>83</xdr:row>
      <xdr:rowOff>116416</xdr:rowOff>
    </xdr:from>
    <xdr:ext cx="571500" cy="529167"/>
    <mc:AlternateContent xmlns:mc="http://schemas.openxmlformats.org/markup-compatibility/2006">
      <mc:Choice xmlns:a14="http://schemas.microsoft.com/office/drawing/2010/main" Requires="a14">
        <xdr:sp macro="" textlink="">
          <xdr:nvSpPr>
            <xdr:cNvPr id="104" name="TextBox 103">
              <a:extLst>
                <a:ext uri="{FF2B5EF4-FFF2-40B4-BE49-F238E27FC236}">
                  <a16:creationId xmlns:a16="http://schemas.microsoft.com/office/drawing/2014/main" id="{BAB228A7-2587-4275-9576-FE6CD9EDA4DE}"/>
                </a:ext>
              </a:extLst>
            </xdr:cNvPr>
            <xdr:cNvSpPr txBox="1"/>
          </xdr:nvSpPr>
          <xdr:spPr>
            <a:xfrm>
              <a:off x="11401425" y="21900091"/>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fPr>
                      <m:num>
                        <m:r>
                          <a:rPr lang="en-US" sz="1400" b="0" i="1" baseline="0">
                            <a:solidFill>
                              <a:srgbClr val="03428E"/>
                            </a:solidFill>
                            <a:effectLst/>
                            <a:latin typeface="Cambria Math" panose="02040503050406030204" pitchFamily="18" charset="0"/>
                            <a:ea typeface="Cambria Math" panose="02040503050406030204" pitchFamily="18" charset="0"/>
                            <a:cs typeface="+mn-cs"/>
                          </a:rPr>
                          <m:t>𝐸</m:t>
                        </m:r>
                      </m:num>
                      <m:den>
                        <m:sSub>
                          <m:sSub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sSubPr>
                          <m:e>
                            <m:r>
                              <a:rPr lang="en-US" sz="1400" b="0" i="1" baseline="0">
                                <a:solidFill>
                                  <a:srgbClr val="03428E"/>
                                </a:solidFill>
                                <a:effectLst/>
                                <a:latin typeface="Cambria Math" panose="02040503050406030204" pitchFamily="18" charset="0"/>
                                <a:ea typeface="Cambria Math" panose="02040503050406030204" pitchFamily="18" charset="0"/>
                                <a:cs typeface="+mn-cs"/>
                              </a:rPr>
                              <m:t>𝐸</m:t>
                            </m:r>
                          </m:e>
                          <m:sub>
                            <m:r>
                              <a:rPr lang="en-US" sz="1400" b="0" i="1" baseline="0">
                                <a:solidFill>
                                  <a:srgbClr val="03428E"/>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rgbClr val="03428E"/>
                </a:solidFill>
                <a:latin typeface="Cambria Math" panose="02040503050406030204" pitchFamily="18" charset="0"/>
                <a:ea typeface="Cambria Math" panose="02040503050406030204" pitchFamily="18" charset="0"/>
              </a:endParaRPr>
            </a:p>
          </xdr:txBody>
        </xdr:sp>
      </mc:Choice>
      <mc:Fallback>
        <xdr:sp macro="" textlink="">
          <xdr:nvSpPr>
            <xdr:cNvPr id="104" name="TextBox 103">
              <a:extLst>
                <a:ext uri="{FF2B5EF4-FFF2-40B4-BE49-F238E27FC236}">
                  <a16:creationId xmlns:a16="http://schemas.microsoft.com/office/drawing/2014/main" id="{BAB228A7-2587-4275-9576-FE6CD9EDA4DE}"/>
                </a:ext>
              </a:extLst>
            </xdr:cNvPr>
            <xdr:cNvSpPr txBox="1"/>
          </xdr:nvSpPr>
          <xdr:spPr>
            <a:xfrm>
              <a:off x="11401425" y="21900091"/>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rgbClr val="03428E"/>
                  </a:solidFill>
                  <a:effectLst/>
                  <a:latin typeface="Cambria Math" panose="02040503050406030204" pitchFamily="18" charset="0"/>
                  <a:ea typeface="Cambria Math" panose="02040503050406030204" pitchFamily="18" charset="0"/>
                  <a:cs typeface="+mn-cs"/>
                </a:rPr>
                <a:t>𝐸/𝐸_𝑃 </a:t>
              </a:r>
              <a:endParaRPr lang="en-US" sz="1400">
                <a:solidFill>
                  <a:srgbClr val="03428E"/>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613833</xdr:colOff>
      <xdr:row>104</xdr:row>
      <xdr:rowOff>63500</xdr:rowOff>
    </xdr:from>
    <xdr:ext cx="571500" cy="529167"/>
    <mc:AlternateContent xmlns:mc="http://schemas.openxmlformats.org/markup-compatibility/2006">
      <mc:Choice xmlns:a14="http://schemas.microsoft.com/office/drawing/2010/main" Requires="a14">
        <xdr:sp macro="" textlink="">
          <xdr:nvSpPr>
            <xdr:cNvPr id="105" name="TextBox 104">
              <a:extLst>
                <a:ext uri="{FF2B5EF4-FFF2-40B4-BE49-F238E27FC236}">
                  <a16:creationId xmlns:a16="http://schemas.microsoft.com/office/drawing/2014/main" id="{C5BA2D11-99A8-41FA-84ED-584FFE43DEB2}"/>
                </a:ext>
              </a:extLst>
            </xdr:cNvPr>
            <xdr:cNvSpPr txBox="1"/>
          </xdr:nvSpPr>
          <xdr:spPr>
            <a:xfrm>
              <a:off x="2776008" y="28790900"/>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fPr>
                      <m:num>
                        <m:r>
                          <a:rPr lang="en-US" sz="1400" b="0" i="1" baseline="0">
                            <a:solidFill>
                              <a:srgbClr val="03428E"/>
                            </a:solidFill>
                            <a:effectLst/>
                            <a:latin typeface="Cambria Math" panose="02040503050406030204" pitchFamily="18" charset="0"/>
                            <a:ea typeface="Cambria Math" panose="02040503050406030204" pitchFamily="18" charset="0"/>
                            <a:cs typeface="+mn-cs"/>
                          </a:rPr>
                          <m:t>ƛ</m:t>
                        </m:r>
                      </m:num>
                      <m:den>
                        <m:sSub>
                          <m:sSub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sSubPr>
                          <m:e>
                            <m:r>
                              <a:rPr lang="en-US" sz="1400" b="0" i="1" baseline="0">
                                <a:solidFill>
                                  <a:srgbClr val="03428E"/>
                                </a:solidFill>
                                <a:effectLst/>
                                <a:latin typeface="Cambria Math" panose="02040503050406030204" pitchFamily="18" charset="0"/>
                                <a:ea typeface="Cambria Math" panose="02040503050406030204" pitchFamily="18" charset="0"/>
                                <a:cs typeface="+mn-cs"/>
                              </a:rPr>
                              <m:t>𝑙</m:t>
                            </m:r>
                          </m:e>
                          <m:sub>
                            <m:r>
                              <a:rPr lang="en-US" sz="1400" b="0" i="1" baseline="0">
                                <a:solidFill>
                                  <a:srgbClr val="03428E"/>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rgbClr val="03428E"/>
                </a:solidFill>
                <a:latin typeface="Cambria Math" panose="02040503050406030204" pitchFamily="18" charset="0"/>
                <a:ea typeface="Cambria Math" panose="02040503050406030204" pitchFamily="18" charset="0"/>
              </a:endParaRPr>
            </a:p>
          </xdr:txBody>
        </xdr:sp>
      </mc:Choice>
      <mc:Fallback>
        <xdr:sp macro="" textlink="">
          <xdr:nvSpPr>
            <xdr:cNvPr id="105" name="TextBox 104">
              <a:extLst>
                <a:ext uri="{FF2B5EF4-FFF2-40B4-BE49-F238E27FC236}">
                  <a16:creationId xmlns:a16="http://schemas.microsoft.com/office/drawing/2014/main" id="{C5BA2D11-99A8-41FA-84ED-584FFE43DEB2}"/>
                </a:ext>
              </a:extLst>
            </xdr:cNvPr>
            <xdr:cNvSpPr txBox="1"/>
          </xdr:nvSpPr>
          <xdr:spPr>
            <a:xfrm>
              <a:off x="2776008" y="28790900"/>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rgbClr val="03428E"/>
                  </a:solidFill>
                  <a:effectLst/>
                  <a:latin typeface="Cambria Math" panose="02040503050406030204" pitchFamily="18" charset="0"/>
                  <a:ea typeface="Cambria Math" panose="02040503050406030204" pitchFamily="18" charset="0"/>
                  <a:cs typeface="+mn-cs"/>
                </a:rPr>
                <a:t>ƛ/𝑙_𝑃 </a:t>
              </a:r>
              <a:endParaRPr lang="en-US" sz="1400">
                <a:solidFill>
                  <a:srgbClr val="03428E"/>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582083</xdr:colOff>
      <xdr:row>104</xdr:row>
      <xdr:rowOff>74083</xdr:rowOff>
    </xdr:from>
    <xdr:ext cx="571500" cy="529167"/>
    <mc:AlternateContent xmlns:mc="http://schemas.openxmlformats.org/markup-compatibility/2006">
      <mc:Choice xmlns:a14="http://schemas.microsoft.com/office/drawing/2010/main" Requires="a14">
        <xdr:sp macro="" textlink="">
          <xdr:nvSpPr>
            <xdr:cNvPr id="106" name="TextBox 105">
              <a:extLst>
                <a:ext uri="{FF2B5EF4-FFF2-40B4-BE49-F238E27FC236}">
                  <a16:creationId xmlns:a16="http://schemas.microsoft.com/office/drawing/2014/main" id="{8EA7C72F-C6AD-4E1D-9A6D-E20D7F636211}"/>
                </a:ext>
              </a:extLst>
            </xdr:cNvPr>
            <xdr:cNvSpPr txBox="1"/>
          </xdr:nvSpPr>
          <xdr:spPr>
            <a:xfrm>
              <a:off x="4458758" y="28801483"/>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fPr>
                      <m:num>
                        <m:r>
                          <a:rPr lang="en-US" sz="1400" b="0" i="1" baseline="0">
                            <a:solidFill>
                              <a:srgbClr val="03428E"/>
                            </a:solidFill>
                            <a:effectLst/>
                            <a:latin typeface="Cambria Math" panose="02040503050406030204" pitchFamily="18" charset="0"/>
                            <a:ea typeface="Cambria Math" panose="02040503050406030204" pitchFamily="18" charset="0"/>
                            <a:cs typeface="+mn-cs"/>
                          </a:rPr>
                          <m:t>𝑚</m:t>
                        </m:r>
                      </m:num>
                      <m:den>
                        <m:sSub>
                          <m:sSub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sSubPr>
                          <m:e>
                            <m:r>
                              <a:rPr lang="en-US" sz="1400" b="0" i="1" baseline="0">
                                <a:solidFill>
                                  <a:srgbClr val="03428E"/>
                                </a:solidFill>
                                <a:effectLst/>
                                <a:latin typeface="Cambria Math" panose="02040503050406030204" pitchFamily="18" charset="0"/>
                                <a:ea typeface="Cambria Math" panose="02040503050406030204" pitchFamily="18" charset="0"/>
                                <a:cs typeface="+mn-cs"/>
                              </a:rPr>
                              <m:t>𝑚</m:t>
                            </m:r>
                          </m:e>
                          <m:sub>
                            <m:r>
                              <a:rPr lang="en-US" sz="1400" b="0" i="1" baseline="0">
                                <a:solidFill>
                                  <a:srgbClr val="03428E"/>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rgbClr val="03428E"/>
                </a:solidFill>
                <a:latin typeface="Cambria Math" panose="02040503050406030204" pitchFamily="18" charset="0"/>
                <a:ea typeface="Cambria Math" panose="02040503050406030204" pitchFamily="18" charset="0"/>
              </a:endParaRPr>
            </a:p>
          </xdr:txBody>
        </xdr:sp>
      </mc:Choice>
      <mc:Fallback>
        <xdr:sp macro="" textlink="">
          <xdr:nvSpPr>
            <xdr:cNvPr id="106" name="TextBox 105">
              <a:extLst>
                <a:ext uri="{FF2B5EF4-FFF2-40B4-BE49-F238E27FC236}">
                  <a16:creationId xmlns:a16="http://schemas.microsoft.com/office/drawing/2014/main" id="{8EA7C72F-C6AD-4E1D-9A6D-E20D7F636211}"/>
                </a:ext>
              </a:extLst>
            </xdr:cNvPr>
            <xdr:cNvSpPr txBox="1"/>
          </xdr:nvSpPr>
          <xdr:spPr>
            <a:xfrm>
              <a:off x="4458758" y="28801483"/>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rgbClr val="03428E"/>
                  </a:solidFill>
                  <a:effectLst/>
                  <a:latin typeface="Cambria Math" panose="02040503050406030204" pitchFamily="18" charset="0"/>
                  <a:ea typeface="Cambria Math" panose="02040503050406030204" pitchFamily="18" charset="0"/>
                  <a:cs typeface="+mn-cs"/>
                </a:rPr>
                <a:t>𝑚/𝑚_𝑃 </a:t>
              </a:r>
              <a:endParaRPr lang="en-US" sz="1400">
                <a:solidFill>
                  <a:srgbClr val="03428E"/>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508000</xdr:colOff>
      <xdr:row>104</xdr:row>
      <xdr:rowOff>84667</xdr:rowOff>
    </xdr:from>
    <xdr:ext cx="719667" cy="529167"/>
    <mc:AlternateContent xmlns:mc="http://schemas.openxmlformats.org/markup-compatibility/2006">
      <mc:Choice xmlns:a14="http://schemas.microsoft.com/office/drawing/2010/main" Requires="a14">
        <xdr:sp macro="" textlink="">
          <xdr:nvSpPr>
            <xdr:cNvPr id="107" name="TextBox 106">
              <a:extLst>
                <a:ext uri="{FF2B5EF4-FFF2-40B4-BE49-F238E27FC236}">
                  <a16:creationId xmlns:a16="http://schemas.microsoft.com/office/drawing/2014/main" id="{946576FD-2969-47C4-8DB7-8D65621A1B00}"/>
                </a:ext>
              </a:extLst>
            </xdr:cNvPr>
            <xdr:cNvSpPr txBox="1"/>
          </xdr:nvSpPr>
          <xdr:spPr>
            <a:xfrm>
              <a:off x="6099175" y="28812067"/>
              <a:ext cx="719667"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rgbClr val="03428E"/>
                        </a:solidFill>
                        <a:effectLst/>
                        <a:latin typeface="Cambria Math" panose="02040503050406030204" pitchFamily="18" charset="0"/>
                        <a:ea typeface="Cambria Math" panose="02040503050406030204" pitchFamily="18" charset="0"/>
                        <a:cs typeface="+mn-cs"/>
                      </a:rPr>
                      <m:t>  </m:t>
                    </m:r>
                    <m:f>
                      <m:f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fPr>
                      <m:num>
                        <m:r>
                          <a:rPr lang="en-US" sz="1400" b="0" i="1" baseline="0">
                            <a:solidFill>
                              <a:srgbClr val="03428E"/>
                            </a:solidFill>
                            <a:effectLst/>
                            <a:latin typeface="Cambria Math" panose="02040503050406030204" pitchFamily="18" charset="0"/>
                            <a:ea typeface="Cambria Math" panose="02040503050406030204" pitchFamily="18" charset="0"/>
                            <a:cs typeface="+mn-cs"/>
                          </a:rPr>
                          <m:t>𝜏</m:t>
                        </m:r>
                      </m:num>
                      <m:den>
                        <m:sSub>
                          <m:sSub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sSubPr>
                          <m:e>
                            <m:r>
                              <a:rPr lang="en-US" sz="1400" b="0" i="1" baseline="0">
                                <a:solidFill>
                                  <a:srgbClr val="03428E"/>
                                </a:solidFill>
                                <a:effectLst/>
                                <a:latin typeface="Cambria Math" panose="02040503050406030204" pitchFamily="18" charset="0"/>
                                <a:ea typeface="Cambria Math" panose="02040503050406030204" pitchFamily="18" charset="0"/>
                                <a:cs typeface="+mn-cs"/>
                              </a:rPr>
                              <m:t>𝑡</m:t>
                            </m:r>
                          </m:e>
                          <m:sub>
                            <m:r>
                              <a:rPr lang="en-US" sz="1400" b="0" i="1" baseline="0">
                                <a:solidFill>
                                  <a:srgbClr val="03428E"/>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rgbClr val="03428E"/>
                </a:solidFill>
                <a:latin typeface="Cambria Math" panose="02040503050406030204" pitchFamily="18" charset="0"/>
                <a:ea typeface="Cambria Math" panose="02040503050406030204" pitchFamily="18" charset="0"/>
              </a:endParaRPr>
            </a:p>
          </xdr:txBody>
        </xdr:sp>
      </mc:Choice>
      <mc:Fallback>
        <xdr:sp macro="" textlink="">
          <xdr:nvSpPr>
            <xdr:cNvPr id="107" name="TextBox 106">
              <a:extLst>
                <a:ext uri="{FF2B5EF4-FFF2-40B4-BE49-F238E27FC236}">
                  <a16:creationId xmlns:a16="http://schemas.microsoft.com/office/drawing/2014/main" id="{946576FD-2969-47C4-8DB7-8D65621A1B00}"/>
                </a:ext>
              </a:extLst>
            </xdr:cNvPr>
            <xdr:cNvSpPr txBox="1"/>
          </xdr:nvSpPr>
          <xdr:spPr>
            <a:xfrm>
              <a:off x="6099175" y="28812067"/>
              <a:ext cx="719667"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rgbClr val="03428E"/>
                  </a:solidFill>
                  <a:effectLst/>
                  <a:latin typeface="Cambria Math" panose="02040503050406030204" pitchFamily="18" charset="0"/>
                  <a:ea typeface="Cambria Math" panose="02040503050406030204" pitchFamily="18" charset="0"/>
                  <a:cs typeface="+mn-cs"/>
                </a:rPr>
                <a:t>   𝜏/𝑡_𝑃 </a:t>
              </a:r>
              <a:endParaRPr lang="en-US" sz="1400">
                <a:solidFill>
                  <a:srgbClr val="03428E"/>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635000</xdr:colOff>
      <xdr:row>104</xdr:row>
      <xdr:rowOff>31749</xdr:rowOff>
    </xdr:from>
    <xdr:ext cx="571500" cy="529167"/>
    <mc:AlternateContent xmlns:mc="http://schemas.openxmlformats.org/markup-compatibility/2006">
      <mc:Choice xmlns:a14="http://schemas.microsoft.com/office/drawing/2010/main" Requires="a14">
        <xdr:sp macro="" textlink="">
          <xdr:nvSpPr>
            <xdr:cNvPr id="108" name="TextBox 107">
              <a:extLst>
                <a:ext uri="{FF2B5EF4-FFF2-40B4-BE49-F238E27FC236}">
                  <a16:creationId xmlns:a16="http://schemas.microsoft.com/office/drawing/2014/main" id="{96C4085E-299A-4CFB-9136-9B01F1A18E02}"/>
                </a:ext>
              </a:extLst>
            </xdr:cNvPr>
            <xdr:cNvSpPr txBox="1"/>
          </xdr:nvSpPr>
          <xdr:spPr>
            <a:xfrm>
              <a:off x="11369675" y="28759149"/>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f>
                      <m:f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fPr>
                      <m:num>
                        <m:r>
                          <a:rPr lang="en-US" sz="1400" b="0" i="1" baseline="0">
                            <a:solidFill>
                              <a:srgbClr val="03428E"/>
                            </a:solidFill>
                            <a:effectLst/>
                            <a:latin typeface="Cambria Math" panose="02040503050406030204" pitchFamily="18" charset="0"/>
                            <a:ea typeface="Cambria Math" panose="02040503050406030204" pitchFamily="18" charset="0"/>
                            <a:cs typeface="+mn-cs"/>
                          </a:rPr>
                          <m:t>𝐸</m:t>
                        </m:r>
                      </m:num>
                      <m:den>
                        <m:sSub>
                          <m:sSubPr>
                            <m:ctrlPr>
                              <a:rPr lang="en-US" sz="1400" b="0" i="1" baseline="0">
                                <a:solidFill>
                                  <a:srgbClr val="03428E"/>
                                </a:solidFill>
                                <a:effectLst/>
                                <a:latin typeface="Cambria Math" panose="02040503050406030204" pitchFamily="18" charset="0"/>
                                <a:ea typeface="Cambria Math" panose="02040503050406030204" pitchFamily="18" charset="0"/>
                                <a:cs typeface="+mn-cs"/>
                              </a:rPr>
                            </m:ctrlPr>
                          </m:sSubPr>
                          <m:e>
                            <m:r>
                              <a:rPr lang="en-US" sz="1400" b="0" i="1" baseline="0">
                                <a:solidFill>
                                  <a:srgbClr val="03428E"/>
                                </a:solidFill>
                                <a:effectLst/>
                                <a:latin typeface="Cambria Math" panose="02040503050406030204" pitchFamily="18" charset="0"/>
                                <a:ea typeface="Cambria Math" panose="02040503050406030204" pitchFamily="18" charset="0"/>
                                <a:cs typeface="+mn-cs"/>
                              </a:rPr>
                              <m:t>𝐸</m:t>
                            </m:r>
                          </m:e>
                          <m:sub>
                            <m:r>
                              <a:rPr lang="en-US" sz="1400" b="0" i="1" baseline="0">
                                <a:solidFill>
                                  <a:srgbClr val="03428E"/>
                                </a:solidFill>
                                <a:effectLst/>
                                <a:latin typeface="Cambria Math" panose="02040503050406030204" pitchFamily="18" charset="0"/>
                                <a:ea typeface="Cambria Math" panose="02040503050406030204" pitchFamily="18" charset="0"/>
                                <a:cs typeface="+mn-cs"/>
                              </a:rPr>
                              <m:t>𝑃</m:t>
                            </m:r>
                          </m:sub>
                        </m:sSub>
                      </m:den>
                    </m:f>
                  </m:oMath>
                </m:oMathPara>
              </a14:m>
              <a:endParaRPr lang="en-US" sz="1400">
                <a:solidFill>
                  <a:srgbClr val="03428E"/>
                </a:solidFill>
                <a:latin typeface="Cambria Math" panose="02040503050406030204" pitchFamily="18" charset="0"/>
                <a:ea typeface="Cambria Math" panose="02040503050406030204" pitchFamily="18" charset="0"/>
              </a:endParaRPr>
            </a:p>
          </xdr:txBody>
        </xdr:sp>
      </mc:Choice>
      <mc:Fallback>
        <xdr:sp macro="" textlink="">
          <xdr:nvSpPr>
            <xdr:cNvPr id="108" name="TextBox 107">
              <a:extLst>
                <a:ext uri="{FF2B5EF4-FFF2-40B4-BE49-F238E27FC236}">
                  <a16:creationId xmlns:a16="http://schemas.microsoft.com/office/drawing/2014/main" id="{96C4085E-299A-4CFB-9136-9B01F1A18E02}"/>
                </a:ext>
              </a:extLst>
            </xdr:cNvPr>
            <xdr:cNvSpPr txBox="1"/>
          </xdr:nvSpPr>
          <xdr:spPr>
            <a:xfrm>
              <a:off x="11369675" y="28759149"/>
              <a:ext cx="571500"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rgbClr val="03428E"/>
                  </a:solidFill>
                  <a:effectLst/>
                  <a:latin typeface="Cambria Math" panose="02040503050406030204" pitchFamily="18" charset="0"/>
                  <a:ea typeface="Cambria Math" panose="02040503050406030204" pitchFamily="18" charset="0"/>
                  <a:cs typeface="+mn-cs"/>
                </a:rPr>
                <a:t>𝐸/𝐸_𝑃 </a:t>
              </a:r>
              <a:endParaRPr lang="en-US" sz="1400">
                <a:solidFill>
                  <a:srgbClr val="03428E"/>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425980</xdr:colOff>
      <xdr:row>100</xdr:row>
      <xdr:rowOff>126998</xdr:rowOff>
    </xdr:from>
    <xdr:ext cx="931334" cy="502920"/>
    <mc:AlternateContent xmlns:mc="http://schemas.openxmlformats.org/markup-compatibility/2006">
      <mc:Choice xmlns:a14="http://schemas.microsoft.com/office/drawing/2010/main" Requires="a14">
        <xdr:sp macro="" textlink="">
          <xdr:nvSpPr>
            <xdr:cNvPr id="109" name="TextBox 108">
              <a:extLst>
                <a:ext uri="{FF2B5EF4-FFF2-40B4-BE49-F238E27FC236}">
                  <a16:creationId xmlns:a16="http://schemas.microsoft.com/office/drawing/2014/main" id="{237B7B1A-147C-4E19-822E-ACC9A4FA24CF}"/>
                </a:ext>
              </a:extLst>
            </xdr:cNvPr>
            <xdr:cNvSpPr txBox="1"/>
          </xdr:nvSpPr>
          <xdr:spPr>
            <a:xfrm>
              <a:off x="12875155" y="27349448"/>
              <a:ext cx="9313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num>
                          <m:den>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𝐸</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09" name="TextBox 108">
              <a:extLst>
                <a:ext uri="{FF2B5EF4-FFF2-40B4-BE49-F238E27FC236}">
                  <a16:creationId xmlns:a16="http://schemas.microsoft.com/office/drawing/2014/main" id="{237B7B1A-147C-4E19-822E-ACC9A4FA24CF}"/>
                </a:ext>
              </a:extLst>
            </xdr:cNvPr>
            <xdr:cNvSpPr txBox="1"/>
          </xdr:nvSpPr>
          <xdr:spPr>
            <a:xfrm>
              <a:off x="12875155" y="27349448"/>
              <a:ext cx="9313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(𝑚/𝑚_𝑃 ) 𝐸_𝑃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9</xdr:col>
      <xdr:colOff>383645</xdr:colOff>
      <xdr:row>100</xdr:row>
      <xdr:rowOff>126998</xdr:rowOff>
    </xdr:from>
    <xdr:ext cx="931334" cy="502920"/>
    <mc:AlternateContent xmlns:mc="http://schemas.openxmlformats.org/markup-compatibility/2006">
      <mc:Choice xmlns:a14="http://schemas.microsoft.com/office/drawing/2010/main" Requires="a14">
        <xdr:sp macro="" textlink="">
          <xdr:nvSpPr>
            <xdr:cNvPr id="110" name="TextBox 109">
              <a:extLst>
                <a:ext uri="{FF2B5EF4-FFF2-40B4-BE49-F238E27FC236}">
                  <a16:creationId xmlns:a16="http://schemas.microsoft.com/office/drawing/2014/main" id="{5A41099C-EE6D-46AA-AEC5-FE49C42D02FE}"/>
                </a:ext>
              </a:extLst>
            </xdr:cNvPr>
            <xdr:cNvSpPr txBox="1"/>
          </xdr:nvSpPr>
          <xdr:spPr>
            <a:xfrm>
              <a:off x="14547320" y="27349448"/>
              <a:ext cx="9313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𝜏</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𝐸</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10" name="TextBox 109">
              <a:extLst>
                <a:ext uri="{FF2B5EF4-FFF2-40B4-BE49-F238E27FC236}">
                  <a16:creationId xmlns:a16="http://schemas.microsoft.com/office/drawing/2014/main" id="{5A41099C-EE6D-46AA-AEC5-FE49C42D02FE}"/>
                </a:ext>
              </a:extLst>
            </xdr:cNvPr>
            <xdr:cNvSpPr txBox="1"/>
          </xdr:nvSpPr>
          <xdr:spPr>
            <a:xfrm>
              <a:off x="14547320" y="27349448"/>
              <a:ext cx="9313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(𝑡_𝑃/𝜏) 𝐸_𝑃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390260</xdr:colOff>
      <xdr:row>80</xdr:row>
      <xdr:rowOff>117739</xdr:rowOff>
    </xdr:from>
    <xdr:ext cx="1005417" cy="502920"/>
    <mc:AlternateContent xmlns:mc="http://schemas.openxmlformats.org/markup-compatibility/2006">
      <mc:Choice xmlns:a14="http://schemas.microsoft.com/office/drawing/2010/main" Requires="a14">
        <xdr:sp macro="" textlink="">
          <xdr:nvSpPr>
            <xdr:cNvPr id="111" name="TextBox 110">
              <a:extLst>
                <a:ext uri="{FF2B5EF4-FFF2-40B4-BE49-F238E27FC236}">
                  <a16:creationId xmlns:a16="http://schemas.microsoft.com/office/drawing/2014/main" id="{3F6E4AF5-3053-496D-B074-9F2620084B3E}"/>
                </a:ext>
              </a:extLst>
            </xdr:cNvPr>
            <xdr:cNvSpPr txBox="1"/>
          </xdr:nvSpPr>
          <xdr:spPr>
            <a:xfrm>
              <a:off x="12839435" y="20644114"/>
              <a:ext cx="100541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num>
                          <m:den>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𝐸</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11" name="TextBox 110">
              <a:extLst>
                <a:ext uri="{FF2B5EF4-FFF2-40B4-BE49-F238E27FC236}">
                  <a16:creationId xmlns:a16="http://schemas.microsoft.com/office/drawing/2014/main" id="{3F6E4AF5-3053-496D-B074-9F2620084B3E}"/>
                </a:ext>
              </a:extLst>
            </xdr:cNvPr>
            <xdr:cNvSpPr txBox="1"/>
          </xdr:nvSpPr>
          <xdr:spPr>
            <a:xfrm>
              <a:off x="12839435" y="20644114"/>
              <a:ext cx="1005417"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(𝑚/𝑚_𝑃 ) 𝐸_𝑃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9</xdr:col>
      <xdr:colOff>306916</xdr:colOff>
      <xdr:row>80</xdr:row>
      <xdr:rowOff>117739</xdr:rowOff>
    </xdr:from>
    <xdr:ext cx="1090084" cy="502920"/>
    <mc:AlternateContent xmlns:mc="http://schemas.openxmlformats.org/markup-compatibility/2006">
      <mc:Choice xmlns:a14="http://schemas.microsoft.com/office/drawing/2010/main" Requires="a14">
        <xdr:sp macro="" textlink="">
          <xdr:nvSpPr>
            <xdr:cNvPr id="112" name="TextBox 111">
              <a:extLst>
                <a:ext uri="{FF2B5EF4-FFF2-40B4-BE49-F238E27FC236}">
                  <a16:creationId xmlns:a16="http://schemas.microsoft.com/office/drawing/2014/main" id="{759A2803-D72A-492F-977C-75DC509E3733}"/>
                </a:ext>
              </a:extLst>
            </xdr:cNvPr>
            <xdr:cNvSpPr txBox="1"/>
          </xdr:nvSpPr>
          <xdr:spPr>
            <a:xfrm>
              <a:off x="14470591" y="20644114"/>
              <a:ext cx="109008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2</m:t>
                    </m:r>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𝜋</m:t>
                    </m:r>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𝑇</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𝐸</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12" name="TextBox 111">
              <a:extLst>
                <a:ext uri="{FF2B5EF4-FFF2-40B4-BE49-F238E27FC236}">
                  <a16:creationId xmlns:a16="http://schemas.microsoft.com/office/drawing/2014/main" id="{759A2803-D72A-492F-977C-75DC509E3733}"/>
                </a:ext>
              </a:extLst>
            </xdr:cNvPr>
            <xdr:cNvSpPr txBox="1"/>
          </xdr:nvSpPr>
          <xdr:spPr>
            <a:xfrm>
              <a:off x="14470591" y="20644114"/>
              <a:ext cx="109008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2𝜋(𝑡_𝑃/𝑇) 𝐸_𝑃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920749</xdr:colOff>
      <xdr:row>100</xdr:row>
      <xdr:rowOff>126998</xdr:rowOff>
    </xdr:from>
    <xdr:ext cx="666750" cy="502920"/>
    <mc:AlternateContent xmlns:mc="http://schemas.openxmlformats.org/markup-compatibility/2006">
      <mc:Choice xmlns:a14="http://schemas.microsoft.com/office/drawing/2010/main" Requires="a14">
        <xdr:sp macro="" textlink="">
          <xdr:nvSpPr>
            <xdr:cNvPr id="113" name="TextBox 112">
              <a:extLst>
                <a:ext uri="{FF2B5EF4-FFF2-40B4-BE49-F238E27FC236}">
                  <a16:creationId xmlns:a16="http://schemas.microsoft.com/office/drawing/2014/main" id="{0266F8ED-CF43-4F8D-BFB1-A3666E15885F}"/>
                </a:ext>
              </a:extLst>
            </xdr:cNvPr>
            <xdr:cNvSpPr txBox="1"/>
          </xdr:nvSpPr>
          <xdr:spPr>
            <a:xfrm>
              <a:off x="4797424" y="27349448"/>
              <a:ext cx="66675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𝜏</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13" name="TextBox 112">
              <a:extLst>
                <a:ext uri="{FF2B5EF4-FFF2-40B4-BE49-F238E27FC236}">
                  <a16:creationId xmlns:a16="http://schemas.microsoft.com/office/drawing/2014/main" id="{0266F8ED-CF43-4F8D-BFB1-A3666E15885F}"/>
                </a:ext>
              </a:extLst>
            </xdr:cNvPr>
            <xdr:cNvSpPr txBox="1"/>
          </xdr:nvSpPr>
          <xdr:spPr>
            <a:xfrm>
              <a:off x="4797424" y="27349448"/>
              <a:ext cx="66675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(𝑡_𝑃/𝜏) 𝑚_𝑃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907520</xdr:colOff>
      <xdr:row>100</xdr:row>
      <xdr:rowOff>126998</xdr:rowOff>
    </xdr:from>
    <xdr:ext cx="740834" cy="502920"/>
    <mc:AlternateContent xmlns:mc="http://schemas.openxmlformats.org/markup-compatibility/2006">
      <mc:Choice xmlns:a14="http://schemas.microsoft.com/office/drawing/2010/main" Requires="a14">
        <xdr:sp macro="" textlink="">
          <xdr:nvSpPr>
            <xdr:cNvPr id="114" name="TextBox 113">
              <a:extLst>
                <a:ext uri="{FF2B5EF4-FFF2-40B4-BE49-F238E27FC236}">
                  <a16:creationId xmlns:a16="http://schemas.microsoft.com/office/drawing/2014/main" id="{EE3BD1AC-31D8-4D1A-BE65-757123FFF0DB}"/>
                </a:ext>
              </a:extLst>
            </xdr:cNvPr>
            <xdr:cNvSpPr txBox="1"/>
          </xdr:nvSpPr>
          <xdr:spPr>
            <a:xfrm>
              <a:off x="6498695" y="27349448"/>
              <a:ext cx="7408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𝑚</m:t>
                            </m:r>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14" name="TextBox 113">
              <a:extLst>
                <a:ext uri="{FF2B5EF4-FFF2-40B4-BE49-F238E27FC236}">
                  <a16:creationId xmlns:a16="http://schemas.microsoft.com/office/drawing/2014/main" id="{EE3BD1AC-31D8-4D1A-BE65-757123FFF0DB}"/>
                </a:ext>
              </a:extLst>
            </xdr:cNvPr>
            <xdr:cNvSpPr txBox="1"/>
          </xdr:nvSpPr>
          <xdr:spPr>
            <a:xfrm>
              <a:off x="6498695" y="27349448"/>
              <a:ext cx="7408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(𝑚_𝑃/𝑚) 𝑡_𝑃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899583</xdr:colOff>
      <xdr:row>100</xdr:row>
      <xdr:rowOff>126998</xdr:rowOff>
    </xdr:from>
    <xdr:ext cx="740834" cy="502920"/>
    <mc:AlternateContent xmlns:mc="http://schemas.openxmlformats.org/markup-compatibility/2006">
      <mc:Choice xmlns:a14="http://schemas.microsoft.com/office/drawing/2010/main" Requires="a14">
        <xdr:sp macro="" textlink="">
          <xdr:nvSpPr>
            <xdr:cNvPr id="115" name="TextBox 114">
              <a:extLst>
                <a:ext uri="{FF2B5EF4-FFF2-40B4-BE49-F238E27FC236}">
                  <a16:creationId xmlns:a16="http://schemas.microsoft.com/office/drawing/2014/main" id="{2F4F630D-AC7B-4175-8166-C07D86D7DB59}"/>
                </a:ext>
              </a:extLst>
            </xdr:cNvPr>
            <xdr:cNvSpPr txBox="1"/>
          </xdr:nvSpPr>
          <xdr:spPr>
            <a:xfrm>
              <a:off x="3061758" y="27349448"/>
              <a:ext cx="7408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d>
                      <m:d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dPr>
                      <m:e>
                        <m:f>
                          <m:f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𝜏</m:t>
                            </m:r>
                          </m:num>
                          <m:den>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𝑡</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den>
                        </m:f>
                      </m:e>
                    </m:d>
                    <m:sSub>
                      <m:sSubPr>
                        <m:ctrlP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accent2">
                                <a:lumMod val="7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dr:sp macro="" textlink="">
          <xdr:nvSpPr>
            <xdr:cNvPr id="115" name="TextBox 114">
              <a:extLst>
                <a:ext uri="{FF2B5EF4-FFF2-40B4-BE49-F238E27FC236}">
                  <a16:creationId xmlns:a16="http://schemas.microsoft.com/office/drawing/2014/main" id="{2F4F630D-AC7B-4175-8166-C07D86D7DB59}"/>
                </a:ext>
              </a:extLst>
            </xdr:cNvPr>
            <xdr:cNvSpPr txBox="1"/>
          </xdr:nvSpPr>
          <xdr:spPr>
            <a:xfrm>
              <a:off x="3061758" y="27349448"/>
              <a:ext cx="740834"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accent2">
                      <a:lumMod val="75000"/>
                    </a:schemeClr>
                  </a:solidFill>
                  <a:effectLst/>
                  <a:latin typeface="Cambria Math" panose="02040503050406030204" pitchFamily="18" charset="0"/>
                  <a:ea typeface="Cambria Math" panose="02040503050406030204" pitchFamily="18" charset="0"/>
                  <a:cs typeface="+mn-cs"/>
                </a:rPr>
                <a:t>(𝜏/𝑡_𝑃 ) 𝑙_𝑃</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603250</xdr:colOff>
      <xdr:row>183</xdr:row>
      <xdr:rowOff>169333</xdr:rowOff>
    </xdr:from>
    <xdr:ext cx="582082" cy="560917"/>
    <mc:AlternateContent xmlns:mc="http://schemas.openxmlformats.org/markup-compatibility/2006">
      <mc:Choice xmlns:a14="http://schemas.microsoft.com/office/drawing/2010/main" Requires="a14">
        <xdr:sp macro="" textlink="">
          <xdr:nvSpPr>
            <xdr:cNvPr id="116" name="TextBox 115">
              <a:extLst>
                <a:ext uri="{FF2B5EF4-FFF2-40B4-BE49-F238E27FC236}">
                  <a16:creationId xmlns:a16="http://schemas.microsoft.com/office/drawing/2014/main" id="{FB9E17AE-28CE-4737-926F-7472DF79CB48}"/>
                </a:ext>
              </a:extLst>
            </xdr:cNvPr>
            <xdr:cNvSpPr txBox="1"/>
          </xdr:nvSpPr>
          <xdr:spPr>
            <a:xfrm>
              <a:off x="9623425" y="50394658"/>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ƛ</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16" name="TextBox 115">
              <a:extLst>
                <a:ext uri="{FF2B5EF4-FFF2-40B4-BE49-F238E27FC236}">
                  <a16:creationId xmlns:a16="http://schemas.microsoft.com/office/drawing/2014/main" id="{FB9E17AE-28CE-4737-926F-7472DF79CB48}"/>
                </a:ext>
              </a:extLst>
            </xdr:cNvPr>
            <xdr:cNvSpPr txBox="1"/>
          </xdr:nvSpPr>
          <xdr:spPr>
            <a:xfrm>
              <a:off x="9623425" y="50394658"/>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𝑙_𝑃/ƛ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628650</xdr:colOff>
      <xdr:row>183</xdr:row>
      <xdr:rowOff>184150</xdr:rowOff>
    </xdr:from>
    <xdr:ext cx="582082" cy="560917"/>
    <mc:AlternateContent xmlns:mc="http://schemas.openxmlformats.org/markup-compatibility/2006">
      <mc:Choice xmlns:a14="http://schemas.microsoft.com/office/drawing/2010/main" Requires="a14">
        <xdr:sp macro="" textlink="">
          <xdr:nvSpPr>
            <xdr:cNvPr id="117" name="TextBox 116">
              <a:extLst>
                <a:ext uri="{FF2B5EF4-FFF2-40B4-BE49-F238E27FC236}">
                  <a16:creationId xmlns:a16="http://schemas.microsoft.com/office/drawing/2014/main" id="{188E79C8-F1D1-4D03-838C-E7E1A1897343}"/>
                </a:ext>
              </a:extLst>
            </xdr:cNvPr>
            <xdr:cNvSpPr txBox="1"/>
          </xdr:nvSpPr>
          <xdr:spPr>
            <a:xfrm>
              <a:off x="11363325" y="50409475"/>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num>
                      <m:den>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17" name="TextBox 116">
              <a:extLst>
                <a:ext uri="{FF2B5EF4-FFF2-40B4-BE49-F238E27FC236}">
                  <a16:creationId xmlns:a16="http://schemas.microsoft.com/office/drawing/2014/main" id="{188E79C8-F1D1-4D03-838C-E7E1A1897343}"/>
                </a:ext>
              </a:extLst>
            </xdr:cNvPr>
            <xdr:cNvSpPr txBox="1"/>
          </xdr:nvSpPr>
          <xdr:spPr>
            <a:xfrm>
              <a:off x="11363325" y="50409475"/>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𝑚/𝑚_𝑃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529167</xdr:colOff>
      <xdr:row>195</xdr:row>
      <xdr:rowOff>95250</xdr:rowOff>
    </xdr:from>
    <xdr:ext cx="867833" cy="560917"/>
    <mc:AlternateContent xmlns:mc="http://schemas.openxmlformats.org/markup-compatibility/2006">
      <mc:Choice xmlns:a14="http://schemas.microsoft.com/office/drawing/2010/main" Requires="a14">
        <xdr:sp macro="" textlink="">
          <xdr:nvSpPr>
            <xdr:cNvPr id="118" name="TextBox 117">
              <a:extLst>
                <a:ext uri="{FF2B5EF4-FFF2-40B4-BE49-F238E27FC236}">
                  <a16:creationId xmlns:a16="http://schemas.microsoft.com/office/drawing/2014/main" id="{F7C8A68F-AEEF-4243-B20B-00CA24872EB4}"/>
                </a:ext>
              </a:extLst>
            </xdr:cNvPr>
            <xdr:cNvSpPr txBox="1"/>
          </xdr:nvSpPr>
          <xdr:spPr>
            <a:xfrm>
              <a:off x="11263842" y="54178200"/>
              <a:ext cx="867833"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den>
                    </m:f>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sSup>
                      <m:sSup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𝑣</m:t>
                        </m:r>
                      </m:e>
                      <m:sup>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18" name="TextBox 117">
              <a:extLst>
                <a:ext uri="{FF2B5EF4-FFF2-40B4-BE49-F238E27FC236}">
                  <a16:creationId xmlns:a16="http://schemas.microsoft.com/office/drawing/2014/main" id="{F7C8A68F-AEEF-4243-B20B-00CA24872EB4}"/>
                </a:ext>
              </a:extLst>
            </xdr:cNvPr>
            <xdr:cNvSpPr txBox="1"/>
          </xdr:nvSpPr>
          <xdr:spPr>
            <a:xfrm>
              <a:off x="11263842" y="54178200"/>
              <a:ext cx="867833"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1/2 𝑚_0 𝑣^2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486833</xdr:colOff>
      <xdr:row>195</xdr:row>
      <xdr:rowOff>74083</xdr:rowOff>
    </xdr:from>
    <xdr:ext cx="867833" cy="560917"/>
    <mc:AlternateContent xmlns:mc="http://schemas.openxmlformats.org/markup-compatibility/2006">
      <mc:Choice xmlns:a14="http://schemas.microsoft.com/office/drawing/2010/main" Requires="a14">
        <xdr:sp macro="" textlink="">
          <xdr:nvSpPr>
            <xdr:cNvPr id="119" name="TextBox 118">
              <a:extLst>
                <a:ext uri="{FF2B5EF4-FFF2-40B4-BE49-F238E27FC236}">
                  <a16:creationId xmlns:a16="http://schemas.microsoft.com/office/drawing/2014/main" id="{EFA85679-C29D-423A-ACC2-6109F73E1321}"/>
                </a:ext>
              </a:extLst>
            </xdr:cNvPr>
            <xdr:cNvSpPr txBox="1"/>
          </xdr:nvSpPr>
          <xdr:spPr>
            <a:xfrm>
              <a:off x="18079508" y="54157033"/>
              <a:ext cx="867833"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den>
                    </m:f>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sSup>
                      <m:sSup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𝑣</m:t>
                        </m:r>
                      </m:e>
                      <m:sup>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19" name="TextBox 118">
              <a:extLst>
                <a:ext uri="{FF2B5EF4-FFF2-40B4-BE49-F238E27FC236}">
                  <a16:creationId xmlns:a16="http://schemas.microsoft.com/office/drawing/2014/main" id="{EFA85679-C29D-423A-ACC2-6109F73E1321}"/>
                </a:ext>
              </a:extLst>
            </xdr:cNvPr>
            <xdr:cNvSpPr txBox="1"/>
          </xdr:nvSpPr>
          <xdr:spPr>
            <a:xfrm>
              <a:off x="18079508" y="54157033"/>
              <a:ext cx="867833"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1/2 𝑚_0 𝑣^2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543983</xdr:colOff>
      <xdr:row>195</xdr:row>
      <xdr:rowOff>57150</xdr:rowOff>
    </xdr:from>
    <xdr:ext cx="867833" cy="560917"/>
    <mc:AlternateContent xmlns:mc="http://schemas.openxmlformats.org/markup-compatibility/2006">
      <mc:Choice xmlns:a14="http://schemas.microsoft.com/office/drawing/2010/main" Requires="a14">
        <xdr:sp macro="" textlink="">
          <xdr:nvSpPr>
            <xdr:cNvPr id="120" name="TextBox 119">
              <a:extLst>
                <a:ext uri="{FF2B5EF4-FFF2-40B4-BE49-F238E27FC236}">
                  <a16:creationId xmlns:a16="http://schemas.microsoft.com/office/drawing/2014/main" id="{85333D5E-1CB5-43E5-818A-1E3ACC731484}"/>
                </a:ext>
              </a:extLst>
            </xdr:cNvPr>
            <xdr:cNvSpPr txBox="1"/>
          </xdr:nvSpPr>
          <xdr:spPr>
            <a:xfrm>
              <a:off x="21565658" y="54140100"/>
              <a:ext cx="867833"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sSub>
                      <m:sSub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sSup>
                      <m:sSup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e>
                      <m:sup>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0" name="TextBox 119">
              <a:extLst>
                <a:ext uri="{FF2B5EF4-FFF2-40B4-BE49-F238E27FC236}">
                  <a16:creationId xmlns:a16="http://schemas.microsoft.com/office/drawing/2014/main" id="{85333D5E-1CB5-43E5-818A-1E3ACC731484}"/>
                </a:ext>
              </a:extLst>
            </xdr:cNvPr>
            <xdr:cNvSpPr txBox="1"/>
          </xdr:nvSpPr>
          <xdr:spPr>
            <a:xfrm>
              <a:off x="21565658" y="54140100"/>
              <a:ext cx="867833"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𝑚_0 𝑐^2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12</xdr:col>
      <xdr:colOff>624417</xdr:colOff>
      <xdr:row>195</xdr:row>
      <xdr:rowOff>63501</xdr:rowOff>
    </xdr:from>
    <xdr:ext cx="582082" cy="560917"/>
    <mc:AlternateContent xmlns:mc="http://schemas.openxmlformats.org/markup-compatibility/2006">
      <mc:Choice xmlns:a14="http://schemas.microsoft.com/office/drawing/2010/main" Requires="a14">
        <xdr:sp macro="" textlink="">
          <xdr:nvSpPr>
            <xdr:cNvPr id="121" name="TextBox 120">
              <a:extLst>
                <a:ext uri="{FF2B5EF4-FFF2-40B4-BE49-F238E27FC236}">
                  <a16:creationId xmlns:a16="http://schemas.microsoft.com/office/drawing/2014/main" id="{FE1289AB-3D5F-4965-B715-45AD3CBDBFA5}"/>
                </a:ext>
              </a:extLst>
            </xdr:cNvPr>
            <xdr:cNvSpPr txBox="1"/>
          </xdr:nvSpPr>
          <xdr:spPr>
            <a:xfrm>
              <a:off x="19931592" y="54146451"/>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
                  </m:oMathParaPr>
                  <m:oMath xmlns:m="http://schemas.openxmlformats.org/officeDocument/2006/math">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𝑣</m:t>
                        </m:r>
                      </m:num>
                      <m:den>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2 ƛ</m:t>
                        </m:r>
                      </m:den>
                    </m:f>
                    <m:r>
                      <a:rPr lang="en-US" sz="1400" b="0" i="1"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1" name="TextBox 120">
              <a:extLst>
                <a:ext uri="{FF2B5EF4-FFF2-40B4-BE49-F238E27FC236}">
                  <a16:creationId xmlns:a16="http://schemas.microsoft.com/office/drawing/2014/main" id="{FE1289AB-3D5F-4965-B715-45AD3CBDBFA5}"/>
                </a:ext>
              </a:extLst>
            </xdr:cNvPr>
            <xdr:cNvSpPr txBox="1"/>
          </xdr:nvSpPr>
          <xdr:spPr>
            <a:xfrm>
              <a:off x="19931592" y="54146451"/>
              <a:ext cx="582082" cy="56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baseline="0">
                  <a:solidFill>
                    <a:schemeClr val="tx1">
                      <a:lumMod val="75000"/>
                      <a:lumOff val="25000"/>
                    </a:schemeClr>
                  </a:solidFill>
                  <a:effectLst/>
                  <a:latin typeface="Cambria Math" panose="02040503050406030204" pitchFamily="18" charset="0"/>
                  <a:ea typeface="Cambria Math" panose="02040503050406030204" pitchFamily="18" charset="0"/>
                  <a:cs typeface="+mn-cs"/>
                </a:rPr>
                <a:t>  ℏ𝑣/(2 ƛ)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571500</xdr:colOff>
      <xdr:row>235</xdr:row>
      <xdr:rowOff>84667</xdr:rowOff>
    </xdr:from>
    <xdr:ext cx="590021" cy="607219"/>
    <mc:AlternateContent xmlns:mc="http://schemas.openxmlformats.org/markup-compatibility/2006">
      <mc:Choice xmlns:a14="http://schemas.microsoft.com/office/drawing/2010/main" Requires="a14">
        <xdr:sp macro="" textlink="">
          <xdr:nvSpPr>
            <xdr:cNvPr id="122" name="TextBox 121">
              <a:extLst>
                <a:ext uri="{FF2B5EF4-FFF2-40B4-BE49-F238E27FC236}">
                  <a16:creationId xmlns:a16="http://schemas.microsoft.com/office/drawing/2014/main" id="{C1CCC62B-C251-4A00-B308-C4788EB0C205}"/>
                </a:ext>
              </a:extLst>
            </xdr:cNvPr>
            <xdr:cNvSpPr txBox="1"/>
          </xdr:nvSpPr>
          <xdr:spPr>
            <a:xfrm>
              <a:off x="6162675" y="65349967"/>
              <a:ext cx="59002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f>
                      <m:fPr>
                        <m:ctrlPr>
                          <a:rPr lang="en-US" sz="1400" i="1">
                            <a:solidFill>
                              <a:schemeClr val="bg1"/>
                            </a:solidFill>
                            <a:latin typeface="Cambria Math" panose="02040503050406030204" pitchFamily="18" charset="0"/>
                            <a:ea typeface="Cambria Math" panose="02040503050406030204" pitchFamily="18" charset="0"/>
                          </a:rPr>
                        </m:ctrlPr>
                      </m:fPr>
                      <m:num>
                        <m:sSub>
                          <m:sSubPr>
                            <m:ctrlPr>
                              <a:rPr lang="en-US" sz="1400" i="1">
                                <a:solidFill>
                                  <a:schemeClr val="bg1"/>
                                </a:solidFill>
                                <a:latin typeface="Cambria Math" panose="02040503050406030204" pitchFamily="18" charset="0"/>
                                <a:ea typeface="Cambria Math" panose="02040503050406030204" pitchFamily="18" charset="0"/>
                              </a:rPr>
                            </m:ctrlPr>
                          </m:sSubPr>
                          <m:e>
                            <m:r>
                              <a:rPr lang="en-US" sz="1400" b="0" i="1">
                                <a:solidFill>
                                  <a:schemeClr val="bg1"/>
                                </a:solidFill>
                                <a:latin typeface="Cambria Math" panose="02040503050406030204" pitchFamily="18" charset="0"/>
                                <a:ea typeface="Cambria Math" panose="02040503050406030204" pitchFamily="18" charset="0"/>
                              </a:rPr>
                              <m:t>𝑙</m:t>
                            </m:r>
                          </m:e>
                          <m:sub>
                            <m:r>
                              <a:rPr lang="en-US" sz="1400" b="0" i="1">
                                <a:solidFill>
                                  <a:schemeClr val="bg1"/>
                                </a:solidFill>
                                <a:latin typeface="Cambria Math" panose="02040503050406030204" pitchFamily="18" charset="0"/>
                                <a:ea typeface="Cambria Math" panose="02040503050406030204" pitchFamily="18" charset="0"/>
                              </a:rPr>
                              <m:t>𝑃</m:t>
                            </m:r>
                          </m:sub>
                        </m:sSub>
                      </m:num>
                      <m:den>
                        <m:r>
                          <a:rPr lang="en-US" sz="1400" b="0" i="1">
                            <a:solidFill>
                              <a:schemeClr val="bg1"/>
                            </a:solidFill>
                            <a:latin typeface="Cambria Math" panose="02040503050406030204" pitchFamily="18" charset="0"/>
                            <a:ea typeface="Cambria Math" panose="02040503050406030204" pitchFamily="18" charset="0"/>
                          </a:rPr>
                          <m:t>𝑅</m:t>
                        </m:r>
                      </m:den>
                    </m:f>
                  </m:oMath>
                </m:oMathPara>
              </a14:m>
              <a:endParaRPr lang="en-US" sz="1400">
                <a:solidFill>
                  <a:schemeClr val="bg1"/>
                </a:solidFill>
                <a:latin typeface="Cambria Math" panose="02040503050406030204" pitchFamily="18" charset="0"/>
                <a:ea typeface="Cambria Math" panose="02040503050406030204" pitchFamily="18" charset="0"/>
              </a:endParaRPr>
            </a:p>
          </xdr:txBody>
        </xdr:sp>
      </mc:Choice>
      <mc:Fallback>
        <xdr:sp macro="" textlink="">
          <xdr:nvSpPr>
            <xdr:cNvPr id="122" name="TextBox 121">
              <a:extLst>
                <a:ext uri="{FF2B5EF4-FFF2-40B4-BE49-F238E27FC236}">
                  <a16:creationId xmlns:a16="http://schemas.microsoft.com/office/drawing/2014/main" id="{C1CCC62B-C251-4A00-B308-C4788EB0C205}"/>
                </a:ext>
              </a:extLst>
            </xdr:cNvPr>
            <xdr:cNvSpPr txBox="1"/>
          </xdr:nvSpPr>
          <xdr:spPr>
            <a:xfrm>
              <a:off x="6162675" y="65349967"/>
              <a:ext cx="590021" cy="60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bg1"/>
                  </a:solidFill>
                  <a:latin typeface="Cambria Math" panose="02040503050406030204" pitchFamily="18" charset="0"/>
                  <a:ea typeface="Cambria Math" panose="02040503050406030204" pitchFamily="18" charset="0"/>
                </a:rPr>
                <a:t>𝑙_𝑃/𝑅</a:t>
              </a:r>
              <a:endParaRPr lang="en-US" sz="1400">
                <a:solidFill>
                  <a:schemeClr val="bg1"/>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574146</xdr:colOff>
      <xdr:row>275</xdr:row>
      <xdr:rowOff>83343</xdr:rowOff>
    </xdr:from>
    <xdr:ext cx="619124" cy="440531"/>
    <mc:AlternateContent xmlns:mc="http://schemas.openxmlformats.org/markup-compatibility/2006">
      <mc:Choice xmlns:a14="http://schemas.microsoft.com/office/drawing/2010/main" Requires="a14">
        <xdr:sp macro="" textlink="">
          <xdr:nvSpPr>
            <xdr:cNvPr id="123" name="TextBox 122">
              <a:extLst>
                <a:ext uri="{FF2B5EF4-FFF2-40B4-BE49-F238E27FC236}">
                  <a16:creationId xmlns:a16="http://schemas.microsoft.com/office/drawing/2014/main" id="{776A30D4-0494-4B2D-9C8B-384A186649AE}"/>
                </a:ext>
              </a:extLst>
            </xdr:cNvPr>
            <xdr:cNvSpPr txBox="1"/>
          </xdr:nvSpPr>
          <xdr:spPr>
            <a:xfrm>
              <a:off x="9594321" y="76473843"/>
              <a:ext cx="619124" cy="440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rad>
                      <m:radPr>
                        <m:degHide m:val="on"/>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radPr>
                      <m:deg/>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𝛼</m:t>
                        </m:r>
                      </m:e>
                    </m:ra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3" name="TextBox 122">
              <a:extLst>
                <a:ext uri="{FF2B5EF4-FFF2-40B4-BE49-F238E27FC236}">
                  <a16:creationId xmlns:a16="http://schemas.microsoft.com/office/drawing/2014/main" id="{776A30D4-0494-4B2D-9C8B-384A186649AE}"/>
                </a:ext>
              </a:extLst>
            </xdr:cNvPr>
            <xdr:cNvSpPr txBox="1"/>
          </xdr:nvSpPr>
          <xdr:spPr>
            <a:xfrm>
              <a:off x="9594321" y="76473843"/>
              <a:ext cx="619124" cy="440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𝑞_𝑃 √𝛼</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440532</xdr:colOff>
      <xdr:row>282</xdr:row>
      <xdr:rowOff>47625</xdr:rowOff>
    </xdr:from>
    <xdr:ext cx="897733" cy="502920"/>
    <mc:AlternateContent xmlns:mc="http://schemas.openxmlformats.org/markup-compatibility/2006">
      <mc:Choice xmlns:a14="http://schemas.microsoft.com/office/drawing/2010/main" Requires="a14">
        <xdr:sp macro="" textlink="">
          <xdr:nvSpPr>
            <xdr:cNvPr id="124" name="TextBox 123">
              <a:extLst>
                <a:ext uri="{FF2B5EF4-FFF2-40B4-BE49-F238E27FC236}">
                  <a16:creationId xmlns:a16="http://schemas.microsoft.com/office/drawing/2014/main" id="{3FE4E03A-D611-4C02-934D-327E6047CFA2}"/>
                </a:ext>
              </a:extLst>
            </xdr:cNvPr>
            <xdr:cNvSpPr txBox="1"/>
          </xdr:nvSpPr>
          <xdr:spPr>
            <a:xfrm>
              <a:off x="12889707" y="80838675"/>
              <a:ext cx="89773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num>
                      <m:den>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4" name="TextBox 123">
              <a:extLst>
                <a:ext uri="{FF2B5EF4-FFF2-40B4-BE49-F238E27FC236}">
                  <a16:creationId xmlns:a16="http://schemas.microsoft.com/office/drawing/2014/main" id="{3FE4E03A-D611-4C02-934D-327E6047CFA2}"/>
                </a:ext>
              </a:extLst>
            </xdr:cNvPr>
            <xdr:cNvSpPr txBox="1"/>
          </xdr:nvSpPr>
          <xdr:spPr>
            <a:xfrm>
              <a:off x="12889707" y="80838675"/>
              <a:ext cx="89773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𝑡_𝑃/𝑚_𝑃  (𝑞_𝑃/𝑙_𝑃 )^2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422671</xdr:colOff>
      <xdr:row>282</xdr:row>
      <xdr:rowOff>84667</xdr:rowOff>
    </xdr:from>
    <xdr:ext cx="897733" cy="502920"/>
    <mc:AlternateContent xmlns:mc="http://schemas.openxmlformats.org/markup-compatibility/2006">
      <mc:Choice xmlns:a14="http://schemas.microsoft.com/office/drawing/2010/main" Requires="a14">
        <xdr:sp macro="" textlink="">
          <xdr:nvSpPr>
            <xdr:cNvPr id="125" name="TextBox 124">
              <a:extLst>
                <a:ext uri="{FF2B5EF4-FFF2-40B4-BE49-F238E27FC236}">
                  <a16:creationId xmlns:a16="http://schemas.microsoft.com/office/drawing/2014/main" id="{40A0F049-48B0-45F2-B140-AE70DE11BD20}"/>
                </a:ext>
              </a:extLst>
            </xdr:cNvPr>
            <xdr:cNvSpPr txBox="1"/>
          </xdr:nvSpPr>
          <xdr:spPr>
            <a:xfrm>
              <a:off x="16300846" y="80875717"/>
              <a:ext cx="89773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num>
                      <m:den>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5" name="TextBox 124">
              <a:extLst>
                <a:ext uri="{FF2B5EF4-FFF2-40B4-BE49-F238E27FC236}">
                  <a16:creationId xmlns:a16="http://schemas.microsoft.com/office/drawing/2014/main" id="{40A0F049-48B0-45F2-B140-AE70DE11BD20}"/>
                </a:ext>
              </a:extLst>
            </xdr:cNvPr>
            <xdr:cNvSpPr txBox="1"/>
          </xdr:nvSpPr>
          <xdr:spPr>
            <a:xfrm>
              <a:off x="16300846" y="80875717"/>
              <a:ext cx="897733"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𝑡_𝑃/𝐸_𝑃  𝐼_𝑃^2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359569</xdr:colOff>
      <xdr:row>281</xdr:row>
      <xdr:rowOff>79375</xdr:rowOff>
    </xdr:from>
    <xdr:ext cx="1023936" cy="502920"/>
    <mc:AlternateContent xmlns:mc="http://schemas.openxmlformats.org/markup-compatibility/2006">
      <mc:Choice xmlns:a14="http://schemas.microsoft.com/office/drawing/2010/main" Requires="a14">
        <xdr:sp macro="" textlink="">
          <xdr:nvSpPr>
            <xdr:cNvPr id="126" name="TextBox 125">
              <a:extLst>
                <a:ext uri="{FF2B5EF4-FFF2-40B4-BE49-F238E27FC236}">
                  <a16:creationId xmlns:a16="http://schemas.microsoft.com/office/drawing/2014/main" id="{8021777D-84E4-46A0-9BE2-B2AC6EC8A39F}"/>
                </a:ext>
              </a:extLst>
            </xdr:cNvPr>
            <xdr:cNvSpPr txBox="1"/>
          </xdr:nvSpPr>
          <xdr:spPr>
            <a:xfrm>
              <a:off x="16237744" y="80241775"/>
              <a:ext cx="102393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ad>
                          <m:radPr>
                            <m:degHide m:val="on"/>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radPr>
                          <m:deg/>
                          <m:e>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e>
                        </m:rad>
                      </m:num>
                      <m:den>
                        <m:r>
                          <a:rPr lang="en-US" sz="1200" b="0" i="1">
                            <a:solidFill>
                              <a:schemeClr val="tx1">
                                <a:lumMod val="75000"/>
                                <a:lumOff val="25000"/>
                              </a:schemeClr>
                            </a:solidFill>
                            <a:latin typeface="Cambria Math" panose="02040503050406030204" pitchFamily="18" charset="0"/>
                            <a:ea typeface="Cambria Math" panose="02040503050406030204" pitchFamily="18" charset="0"/>
                          </a:rPr>
                          <m:t>2</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sub>
                        </m:sSub>
                      </m:den>
                    </m:f>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6" name="TextBox 125">
              <a:extLst>
                <a:ext uri="{FF2B5EF4-FFF2-40B4-BE49-F238E27FC236}">
                  <a16:creationId xmlns:a16="http://schemas.microsoft.com/office/drawing/2014/main" id="{8021777D-84E4-46A0-9BE2-B2AC6EC8A39F}"/>
                </a:ext>
              </a:extLst>
            </xdr:cNvPr>
            <xdr:cNvSpPr txBox="1"/>
          </xdr:nvSpPr>
          <xdr:spPr>
            <a:xfrm>
              <a:off x="16237744" y="80241775"/>
              <a:ext cx="1023936"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/2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𝑚_𝑃/𝑚_𝑒  𝑙_𝑃^2  𝐼_𝑃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454818</xdr:colOff>
      <xdr:row>280</xdr:row>
      <xdr:rowOff>74083</xdr:rowOff>
    </xdr:from>
    <xdr:ext cx="833438" cy="502920"/>
    <mc:AlternateContent xmlns:mc="http://schemas.openxmlformats.org/markup-compatibility/2006">
      <mc:Choice xmlns:a14="http://schemas.microsoft.com/office/drawing/2010/main" Requires="a14">
        <xdr:sp macro="" textlink="">
          <xdr:nvSpPr>
            <xdr:cNvPr id="127" name="TextBox 126">
              <a:extLst>
                <a:ext uri="{FF2B5EF4-FFF2-40B4-BE49-F238E27FC236}">
                  <a16:creationId xmlns:a16="http://schemas.microsoft.com/office/drawing/2014/main" id="{72C5D702-4923-489B-878D-65A3C3722AF4}"/>
                </a:ext>
              </a:extLst>
            </xdr:cNvPr>
            <xdr:cNvSpPr txBox="1"/>
          </xdr:nvSpPr>
          <xdr:spPr>
            <a:xfrm>
              <a:off x="16332993" y="79607833"/>
              <a:ext cx="83343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ad>
                          <m:radPr>
                            <m:degHide m:val="on"/>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radPr>
                          <m:deg/>
                          <m:e>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e>
                        </m:rad>
                      </m:num>
                      <m:den>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7" name="TextBox 126">
              <a:extLst>
                <a:ext uri="{FF2B5EF4-FFF2-40B4-BE49-F238E27FC236}">
                  <a16:creationId xmlns:a16="http://schemas.microsoft.com/office/drawing/2014/main" id="{72C5D702-4923-489B-878D-65A3C3722AF4}"/>
                </a:ext>
              </a:extLst>
            </xdr:cNvPr>
            <xdr:cNvSpPr txBox="1"/>
          </xdr:nvSpPr>
          <xdr:spPr>
            <a:xfrm>
              <a:off x="16332993" y="79607833"/>
              <a:ext cx="83343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1/𝐸_𝑃   𝐼_𝑃</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388143</xdr:colOff>
      <xdr:row>279</xdr:row>
      <xdr:rowOff>68791</xdr:rowOff>
    </xdr:from>
    <xdr:ext cx="966788" cy="502920"/>
    <mc:AlternateContent xmlns:mc="http://schemas.openxmlformats.org/markup-compatibility/2006">
      <mc:Choice xmlns:a14="http://schemas.microsoft.com/office/drawing/2010/main" Requires="a14">
        <xdr:sp macro="" textlink="">
          <xdr:nvSpPr>
            <xdr:cNvPr id="128" name="TextBox 127">
              <a:extLst>
                <a:ext uri="{FF2B5EF4-FFF2-40B4-BE49-F238E27FC236}">
                  <a16:creationId xmlns:a16="http://schemas.microsoft.com/office/drawing/2014/main" id="{94CA02AC-6A58-42D3-B27F-6404B0CD2911}"/>
                </a:ext>
              </a:extLst>
            </xdr:cNvPr>
            <xdr:cNvSpPr txBox="1"/>
          </xdr:nvSpPr>
          <xdr:spPr>
            <a:xfrm>
              <a:off x="16266318" y="78973891"/>
              <a:ext cx="96678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200" b="0" i="1">
                            <a:solidFill>
                              <a:schemeClr val="tx1">
                                <a:lumMod val="75000"/>
                                <a:lumOff val="25000"/>
                              </a:schemeClr>
                            </a:solidFill>
                            <a:latin typeface="Cambria Math" panose="02040503050406030204" pitchFamily="18" charset="0"/>
                            <a:ea typeface="Cambria Math" panose="02040503050406030204" pitchFamily="18" charset="0"/>
                          </a:rPr>
                          <m:t>2</m:t>
                        </m:r>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π</m:t>
                        </m:r>
                      </m:num>
                      <m:den>
                        <m:r>
                          <m:rPr>
                            <m:sty m:val="p"/>
                          </m:rPr>
                          <a:rPr lang="el-GR" sz="1200" b="0" i="1">
                            <a:solidFill>
                              <a:schemeClr val="tx1">
                                <a:lumMod val="75000"/>
                                <a:lumOff val="25000"/>
                              </a:schemeClr>
                            </a:solidFill>
                            <a:latin typeface="Cambria Math" panose="02040503050406030204" pitchFamily="18" charset="0"/>
                            <a:ea typeface="Cambria Math" panose="02040503050406030204" pitchFamily="18" charset="0"/>
                          </a:rPr>
                          <m:t>α</m:t>
                        </m:r>
                      </m:den>
                    </m:f>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Sup>
                          <m:sSub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Sup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bSup>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8" name="TextBox 127">
              <a:extLst>
                <a:ext uri="{FF2B5EF4-FFF2-40B4-BE49-F238E27FC236}">
                  <a16:creationId xmlns:a16="http://schemas.microsoft.com/office/drawing/2014/main" id="{94CA02AC-6A58-42D3-B27F-6404B0CD2911}"/>
                </a:ext>
              </a:extLst>
            </xdr:cNvPr>
            <xdr:cNvSpPr txBox="1"/>
          </xdr:nvSpPr>
          <xdr:spPr>
            <a:xfrm>
              <a:off x="16266318" y="78973891"/>
              <a:ext cx="96678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2</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π</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a:t>
              </a:r>
              <a:r>
                <a:rPr lang="el-GR" sz="1200" b="0" i="0">
                  <a:solidFill>
                    <a:schemeClr val="tx1">
                      <a:lumMod val="75000"/>
                      <a:lumOff val="25000"/>
                    </a:schemeClr>
                  </a:solidFill>
                  <a:latin typeface="Cambria Math" panose="02040503050406030204" pitchFamily="18" charset="0"/>
                  <a:ea typeface="Cambria Math" panose="02040503050406030204" pitchFamily="18" charset="0"/>
                </a:rPr>
                <a:t>α</a:t>
              </a: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𝐸_𝑃/𝑡_𝑃    1/(𝐼_𝑃^2 )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455082</xdr:colOff>
      <xdr:row>301</xdr:row>
      <xdr:rowOff>71438</xdr:rowOff>
    </xdr:from>
    <xdr:ext cx="814918" cy="502920"/>
    <mc:AlternateContent xmlns:mc="http://schemas.openxmlformats.org/markup-compatibility/2006">
      <mc:Choice xmlns:a14="http://schemas.microsoft.com/office/drawing/2010/main" Requires="a14">
        <xdr:sp macro="" textlink="">
          <xdr:nvSpPr>
            <xdr:cNvPr id="129" name="TextBox 128">
              <a:extLst>
                <a:ext uri="{FF2B5EF4-FFF2-40B4-BE49-F238E27FC236}">
                  <a16:creationId xmlns:a16="http://schemas.microsoft.com/office/drawing/2014/main" id="{058B6830-7A67-4DBE-B8D8-9788F964B741}"/>
                </a:ext>
              </a:extLst>
            </xdr:cNvPr>
            <xdr:cNvSpPr txBox="1"/>
          </xdr:nvSpPr>
          <xdr:spPr>
            <a:xfrm>
              <a:off x="7760757" y="86968013"/>
              <a:ext cx="81491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rad>
                      <m:radPr>
                        <m:degHide m:val="on"/>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radPr>
                      <m:deg/>
                      <m:e>
                        <m:f>
                          <m:f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fPr>
                          <m:num>
                            <m:r>
                              <a:rPr lang="en-US" sz="1200" b="0" i="1">
                                <a:solidFill>
                                  <a:schemeClr val="tx1">
                                    <a:lumMod val="75000"/>
                                    <a:lumOff val="25000"/>
                                  </a:schemeClr>
                                </a:solidFill>
                                <a:latin typeface="Cambria Math" panose="02040503050406030204" pitchFamily="18" charset="0"/>
                                <a:ea typeface="Cambria Math" panose="02040503050406030204" pitchFamily="18" charset="0"/>
                              </a:rPr>
                              <m:t>4</m:t>
                            </m:r>
                            <m:r>
                              <a:rPr lang="en-US" sz="1200" b="0" i="1">
                                <a:solidFill>
                                  <a:schemeClr val="tx1">
                                    <a:lumMod val="75000"/>
                                    <a:lumOff val="25000"/>
                                  </a:schemeClr>
                                </a:solidFill>
                                <a:latin typeface="Cambria Math" panose="02040503050406030204" pitchFamily="18" charset="0"/>
                                <a:ea typeface="Cambria Math" panose="02040503050406030204" pitchFamily="18" charset="0"/>
                              </a:rPr>
                              <m:t>𝜋</m:t>
                            </m:r>
                            <m:sSup>
                              <m:sSup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𝑐</m:t>
                                </m:r>
                              </m:e>
                              <m:sup>
                                <m:r>
                                  <a:rPr lang="en-US" sz="1200" b="0" i="1">
                                    <a:solidFill>
                                      <a:schemeClr val="tx1">
                                        <a:lumMod val="75000"/>
                                        <a:lumOff val="25000"/>
                                      </a:schemeClr>
                                    </a:solidFill>
                                    <a:latin typeface="Cambria Math" panose="02040503050406030204" pitchFamily="18" charset="0"/>
                                    <a:ea typeface="Cambria Math" panose="02040503050406030204" pitchFamily="18" charset="0"/>
                                  </a:rPr>
                                  <m:t>6</m:t>
                                </m:r>
                              </m:sup>
                            </m:sSup>
                            <m:sSub>
                              <m:sSubPr>
                                <m:ctrlPr>
                                  <a:rPr lang="en-US" sz="1200" b="0" i="1">
                                    <a:solidFill>
                                      <a:schemeClr val="tx1">
                                        <a:lumMod val="75000"/>
                                        <a:lumOff val="25000"/>
                                      </a:schemeClr>
                                    </a:solidFill>
                                    <a:latin typeface="Cambria Math" panose="02040503050406030204" pitchFamily="18" charset="0"/>
                                    <a:ea typeface="Cambria Math" panose="02040503050406030204" pitchFamily="18" charset="0"/>
                                  </a:rPr>
                                </m:ctrlPr>
                              </m:sSubPr>
                              <m:e>
                                <m:r>
                                  <a:rPr lang="en-US" sz="1200" b="0" i="1">
                                    <a:solidFill>
                                      <a:schemeClr val="tx1">
                                        <a:lumMod val="75000"/>
                                        <a:lumOff val="25000"/>
                                      </a:schemeClr>
                                    </a:solidFill>
                                    <a:latin typeface="Cambria Math" panose="02040503050406030204" pitchFamily="18" charset="0"/>
                                    <a:ea typeface="Cambria Math" panose="02040503050406030204" pitchFamily="18" charset="0"/>
                                  </a:rPr>
                                  <m:t>𝜀</m:t>
                                </m:r>
                              </m:e>
                              <m:sub>
                                <m:r>
                                  <a:rPr lang="en-US" sz="1200" b="0" i="1">
                                    <a:solidFill>
                                      <a:schemeClr val="tx1">
                                        <a:lumMod val="75000"/>
                                        <a:lumOff val="25000"/>
                                      </a:schemeClr>
                                    </a:solidFill>
                                    <a:latin typeface="Cambria Math" panose="02040503050406030204" pitchFamily="18" charset="0"/>
                                    <a:ea typeface="Cambria Math" panose="02040503050406030204" pitchFamily="18" charset="0"/>
                                  </a:rPr>
                                  <m:t>0</m:t>
                                </m:r>
                              </m:sub>
                            </m:sSub>
                          </m:num>
                          <m:den>
                            <m:r>
                              <a:rPr lang="en-US" sz="1200" b="0" i="1">
                                <a:solidFill>
                                  <a:schemeClr val="tx1">
                                    <a:lumMod val="75000"/>
                                    <a:lumOff val="25000"/>
                                  </a:schemeClr>
                                </a:solidFill>
                                <a:latin typeface="Cambria Math" panose="02040503050406030204" pitchFamily="18" charset="0"/>
                                <a:ea typeface="Cambria Math" panose="02040503050406030204" pitchFamily="18" charset="0"/>
                              </a:rPr>
                              <m:t>𝐺</m:t>
                            </m:r>
                          </m:den>
                        </m:f>
                      </m:e>
                    </m:rad>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29" name="TextBox 128">
              <a:extLst>
                <a:ext uri="{FF2B5EF4-FFF2-40B4-BE49-F238E27FC236}">
                  <a16:creationId xmlns:a16="http://schemas.microsoft.com/office/drawing/2014/main" id="{058B6830-7A67-4DBE-B8D8-9788F964B741}"/>
                </a:ext>
              </a:extLst>
            </xdr:cNvPr>
            <xdr:cNvSpPr txBox="1"/>
          </xdr:nvSpPr>
          <xdr:spPr>
            <a:xfrm>
              <a:off x="7760757" y="86968013"/>
              <a:ext cx="814918"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√((4𝜋𝑐^6 𝜀_0)/𝐺)  </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434976</xdr:colOff>
      <xdr:row>303</xdr:row>
      <xdr:rowOff>94466</xdr:rowOff>
    </xdr:from>
    <xdr:ext cx="790575" cy="428625"/>
    <mc:AlternateContent xmlns:mc="http://schemas.openxmlformats.org/markup-compatibility/2006">
      <mc:Choice xmlns:a14="http://schemas.microsoft.com/office/drawing/2010/main" Requires="a14">
        <xdr:sp macro="" textlink="">
          <xdr:nvSpPr>
            <xdr:cNvPr id="130" name="TextBox 129">
              <a:extLst>
                <a:ext uri="{FF2B5EF4-FFF2-40B4-BE49-F238E27FC236}">
                  <a16:creationId xmlns:a16="http://schemas.microsoft.com/office/drawing/2014/main" id="{980D31C4-37FC-46C5-97D9-D5DA9320B032}"/>
                </a:ext>
              </a:extLst>
            </xdr:cNvPr>
            <xdr:cNvSpPr txBox="1"/>
          </xdr:nvSpPr>
          <xdr:spPr>
            <a:xfrm>
              <a:off x="12884151" y="88248341"/>
              <a:ext cx="79057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𝑚</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𝑙</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𝑞</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30" name="TextBox 129">
              <a:extLst>
                <a:ext uri="{FF2B5EF4-FFF2-40B4-BE49-F238E27FC236}">
                  <a16:creationId xmlns:a16="http://schemas.microsoft.com/office/drawing/2014/main" id="{980D31C4-37FC-46C5-97D9-D5DA9320B032}"/>
                </a:ext>
              </a:extLst>
            </xdr:cNvPr>
            <xdr:cNvSpPr txBox="1"/>
          </xdr:nvSpPr>
          <xdr:spPr>
            <a:xfrm>
              <a:off x="12884151" y="88248341"/>
              <a:ext cx="79057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𝑚_𝑃/𝑡_𝑃  (𝑙_𝑃/𝑞_𝑃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twoCellAnchor editAs="oneCell">
    <xdr:from>
      <xdr:col>11</xdr:col>
      <xdr:colOff>215333</xdr:colOff>
      <xdr:row>75</xdr:row>
      <xdr:rowOff>183583</xdr:rowOff>
    </xdr:from>
    <xdr:to>
      <xdr:col>15</xdr:col>
      <xdr:colOff>1129733</xdr:colOff>
      <xdr:row>86</xdr:row>
      <xdr:rowOff>188608</xdr:rowOff>
    </xdr:to>
    <xdr:pic>
      <xdr:nvPicPr>
        <xdr:cNvPr id="131" name="Picture 130">
          <a:extLst>
            <a:ext uri="{FF2B5EF4-FFF2-40B4-BE49-F238E27FC236}">
              <a16:creationId xmlns:a16="http://schemas.microsoft.com/office/drawing/2014/main" id="{FA26DCF3-54FA-42A2-95F4-A91845F503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08008" y="18824008"/>
          <a:ext cx="7772400" cy="4405575"/>
        </a:xfrm>
        <a:prstGeom prst="rect">
          <a:avLst/>
        </a:prstGeom>
        <a:solidFill>
          <a:schemeClr val="bg1"/>
        </a:solidFill>
        <a:ln>
          <a:solidFill>
            <a:schemeClr val="bg1">
              <a:lumMod val="75000"/>
            </a:schemeClr>
          </a:solidFill>
        </a:ln>
        <a:effectLst>
          <a:outerShdw blurRad="76200" dist="63500" dir="2700000" algn="tl" rotWithShape="0">
            <a:schemeClr val="bg1">
              <a:lumMod val="50000"/>
              <a:alpha val="40000"/>
            </a:schemeClr>
          </a:outerShdw>
        </a:effectLst>
      </xdr:spPr>
    </xdr:pic>
    <xdr:clientData/>
  </xdr:twoCellAnchor>
  <xdr:twoCellAnchor editAs="oneCell">
    <xdr:from>
      <xdr:col>11</xdr:col>
      <xdr:colOff>291252</xdr:colOff>
      <xdr:row>95</xdr:row>
      <xdr:rowOff>172190</xdr:rowOff>
    </xdr:from>
    <xdr:to>
      <xdr:col>15</xdr:col>
      <xdr:colOff>1205652</xdr:colOff>
      <xdr:row>107</xdr:row>
      <xdr:rowOff>24735</xdr:rowOff>
    </xdr:to>
    <xdr:pic>
      <xdr:nvPicPr>
        <xdr:cNvPr id="132" name="Picture 131">
          <a:extLst>
            <a:ext uri="{FF2B5EF4-FFF2-40B4-BE49-F238E27FC236}">
              <a16:creationId xmlns:a16="http://schemas.microsoft.com/office/drawing/2014/main" id="{EDDAE3EB-3CA9-4E96-A06D-D768757A6A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83927" y="25508690"/>
          <a:ext cx="7772400" cy="4500745"/>
        </a:xfrm>
        <a:prstGeom prst="rect">
          <a:avLst/>
        </a:prstGeom>
        <a:solidFill>
          <a:schemeClr val="bg1"/>
        </a:solidFill>
        <a:ln>
          <a:solidFill>
            <a:schemeClr val="bg1">
              <a:lumMod val="75000"/>
            </a:schemeClr>
          </a:solidFill>
        </a:ln>
        <a:effectLst>
          <a:outerShdw blurRad="76200" dist="63500" dir="2700000" algn="tl" rotWithShape="0">
            <a:schemeClr val="bg1">
              <a:lumMod val="50000"/>
              <a:alpha val="40000"/>
            </a:schemeClr>
          </a:outerShdw>
        </a:effectLst>
      </xdr:spPr>
    </xdr:pic>
    <xdr:clientData/>
  </xdr:twoCellAnchor>
  <xdr:twoCellAnchor editAs="oneCell">
    <xdr:from>
      <xdr:col>5</xdr:col>
      <xdr:colOff>275886</xdr:colOff>
      <xdr:row>159</xdr:row>
      <xdr:rowOff>130365</xdr:rowOff>
    </xdr:from>
    <xdr:to>
      <xdr:col>10</xdr:col>
      <xdr:colOff>741586</xdr:colOff>
      <xdr:row>176</xdr:row>
      <xdr:rowOff>166687</xdr:rowOff>
    </xdr:to>
    <xdr:pic>
      <xdr:nvPicPr>
        <xdr:cNvPr id="133" name="Picture 132">
          <a:extLst>
            <a:ext uri="{FF2B5EF4-FFF2-40B4-BE49-F238E27FC236}">
              <a16:creationId xmlns:a16="http://schemas.microsoft.com/office/drawing/2014/main" id="{43D77945-8917-40A5-9763-DF8879B943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81561" y="44154915"/>
          <a:ext cx="9038200" cy="4246372"/>
        </a:xfrm>
        <a:prstGeom prst="rect">
          <a:avLst/>
        </a:prstGeom>
        <a:solidFill>
          <a:schemeClr val="bg1"/>
        </a:solidFill>
        <a:ln>
          <a:solidFill>
            <a:schemeClr val="bg1">
              <a:lumMod val="75000"/>
            </a:schemeClr>
          </a:solidFill>
        </a:ln>
        <a:effectLst>
          <a:outerShdw blurRad="76200" dist="63500" dir="2700000" algn="tl" rotWithShape="0">
            <a:schemeClr val="bg1">
              <a:lumMod val="50000"/>
              <a:alpha val="40000"/>
            </a:schemeClr>
          </a:outerShdw>
        </a:effectLst>
      </xdr:spPr>
    </xdr:pic>
    <xdr:clientData/>
  </xdr:twoCellAnchor>
  <xdr:twoCellAnchor editAs="oneCell">
    <xdr:from>
      <xdr:col>10</xdr:col>
      <xdr:colOff>273749</xdr:colOff>
      <xdr:row>201</xdr:row>
      <xdr:rowOff>231420</xdr:rowOff>
    </xdr:from>
    <xdr:to>
      <xdr:col>14</xdr:col>
      <xdr:colOff>1188149</xdr:colOff>
      <xdr:row>216</xdr:row>
      <xdr:rowOff>206625</xdr:rowOff>
    </xdr:to>
    <xdr:pic>
      <xdr:nvPicPr>
        <xdr:cNvPr id="134" name="Picture 133">
          <a:extLst>
            <a:ext uri="{FF2B5EF4-FFF2-40B4-BE49-F238E27FC236}">
              <a16:creationId xmlns:a16="http://schemas.microsoft.com/office/drawing/2014/main" id="{EAD18C0A-A266-4B76-8131-688D98595DC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51924" y="56295570"/>
          <a:ext cx="7772400" cy="4471005"/>
        </a:xfrm>
        <a:prstGeom prst="rect">
          <a:avLst/>
        </a:prstGeom>
        <a:solidFill>
          <a:schemeClr val="bg1"/>
        </a:solidFill>
        <a:ln>
          <a:solidFill>
            <a:schemeClr val="bg1">
              <a:lumMod val="75000"/>
            </a:schemeClr>
          </a:solidFill>
        </a:ln>
        <a:effectLst>
          <a:outerShdw blurRad="76200" dist="63500" dir="2700000" algn="tl" rotWithShape="0">
            <a:schemeClr val="bg1">
              <a:lumMod val="50000"/>
              <a:alpha val="40000"/>
            </a:schemeClr>
          </a:outerShdw>
        </a:effectLst>
      </xdr:spPr>
    </xdr:pic>
    <xdr:clientData/>
  </xdr:twoCellAnchor>
  <xdr:twoCellAnchor editAs="oneCell">
    <xdr:from>
      <xdr:col>8</xdr:col>
      <xdr:colOff>402584</xdr:colOff>
      <xdr:row>233</xdr:row>
      <xdr:rowOff>74500</xdr:rowOff>
    </xdr:from>
    <xdr:to>
      <xdr:col>12</xdr:col>
      <xdr:colOff>1316984</xdr:colOff>
      <xdr:row>248</xdr:row>
      <xdr:rowOff>54714</xdr:rowOff>
    </xdr:to>
    <xdr:pic>
      <xdr:nvPicPr>
        <xdr:cNvPr id="135" name="Picture 134">
          <a:extLst>
            <a:ext uri="{FF2B5EF4-FFF2-40B4-BE49-F238E27FC236}">
              <a16:creationId xmlns:a16="http://schemas.microsoft.com/office/drawing/2014/main" id="{2B4C13AF-77A2-4D1E-BE4E-F06A2B73B6A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51759" y="64844500"/>
          <a:ext cx="7772400" cy="4275989"/>
        </a:xfrm>
        <a:prstGeom prst="rect">
          <a:avLst/>
        </a:prstGeom>
        <a:solidFill>
          <a:schemeClr val="bg1"/>
        </a:solidFill>
        <a:ln>
          <a:solidFill>
            <a:schemeClr val="bg1">
              <a:lumMod val="75000"/>
            </a:schemeClr>
          </a:solidFill>
        </a:ln>
        <a:effectLst>
          <a:outerShdw blurRad="76200" dist="63500" dir="2700000" algn="tl" rotWithShape="0">
            <a:schemeClr val="bg1">
              <a:lumMod val="50000"/>
              <a:alpha val="40000"/>
            </a:schemeClr>
          </a:outerShdw>
        </a:effectLst>
      </xdr:spPr>
    </xdr:pic>
    <xdr:clientData/>
  </xdr:twoCellAnchor>
  <xdr:twoCellAnchor editAs="oneCell">
    <xdr:from>
      <xdr:col>6</xdr:col>
      <xdr:colOff>157425</xdr:colOff>
      <xdr:row>358</xdr:row>
      <xdr:rowOff>78051</xdr:rowOff>
    </xdr:from>
    <xdr:to>
      <xdr:col>11</xdr:col>
      <xdr:colOff>269852</xdr:colOff>
      <xdr:row>376</xdr:row>
      <xdr:rowOff>166688</xdr:rowOff>
    </xdr:to>
    <xdr:pic>
      <xdr:nvPicPr>
        <xdr:cNvPr id="136" name="Picture 135">
          <a:extLst>
            <a:ext uri="{FF2B5EF4-FFF2-40B4-BE49-F238E27FC236}">
              <a16:creationId xmlns:a16="http://schemas.microsoft.com/office/drawing/2014/main" id="{3E6CE368-4CFA-47EE-89A6-CC3F08C3540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77600" y="106510401"/>
          <a:ext cx="8684927" cy="4803512"/>
        </a:xfrm>
        <a:prstGeom prst="rect">
          <a:avLst/>
        </a:prstGeom>
        <a:solidFill>
          <a:schemeClr val="bg1"/>
        </a:solidFill>
        <a:ln>
          <a:solidFill>
            <a:schemeClr val="bg1">
              <a:lumMod val="75000"/>
            </a:schemeClr>
          </a:solidFill>
        </a:ln>
        <a:effectLst>
          <a:outerShdw blurRad="76200" dist="63500" dir="2700000" algn="tl" rotWithShape="0">
            <a:schemeClr val="bg1">
              <a:lumMod val="50000"/>
              <a:alpha val="40000"/>
            </a:schemeClr>
          </a:outerShdw>
        </a:effectLst>
      </xdr:spPr>
    </xdr:pic>
    <xdr:clientData/>
  </xdr:twoCellAnchor>
  <xdr:oneCellAnchor>
    <xdr:from>
      <xdr:col>5</xdr:col>
      <xdr:colOff>538430</xdr:colOff>
      <xdr:row>275</xdr:row>
      <xdr:rowOff>35718</xdr:rowOff>
    </xdr:from>
    <xdr:ext cx="690563" cy="559594"/>
    <mc:AlternateContent xmlns:mc="http://schemas.openxmlformats.org/markup-compatibility/2006">
      <mc:Choice xmlns:a14="http://schemas.microsoft.com/office/drawing/2010/main" Requires="a14">
        <xdr:sp macro="" textlink="">
          <xdr:nvSpPr>
            <xdr:cNvPr id="137" name="TextBox 136">
              <a:extLst>
                <a:ext uri="{FF2B5EF4-FFF2-40B4-BE49-F238E27FC236}">
                  <a16:creationId xmlns:a16="http://schemas.microsoft.com/office/drawing/2014/main" id="{0E1FDDB0-BE88-45B0-9050-B19519623A9F}"/>
                </a:ext>
              </a:extLst>
            </xdr:cNvPr>
            <xdr:cNvSpPr txBox="1"/>
          </xdr:nvSpPr>
          <xdr:spPr>
            <a:xfrm>
              <a:off x="7844105" y="76426218"/>
              <a:ext cx="690563"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ad>
                      <m:radPr>
                        <m:degHide m:val="on"/>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radPr>
                      <m:deg/>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4</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ℏ</m:t>
                            </m:r>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𝛼</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𝜇</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0</m:t>
                                </m:r>
                              </m:sub>
                            </m:s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𝑐</m:t>
                            </m:r>
                          </m:den>
                        </m:f>
                      </m:e>
                    </m:rad>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37" name="TextBox 136">
              <a:extLst>
                <a:ext uri="{FF2B5EF4-FFF2-40B4-BE49-F238E27FC236}">
                  <a16:creationId xmlns:a16="http://schemas.microsoft.com/office/drawing/2014/main" id="{0E1FDDB0-BE88-45B0-9050-B19519623A9F}"/>
                </a:ext>
              </a:extLst>
            </xdr:cNvPr>
            <xdr:cNvSpPr txBox="1"/>
          </xdr:nvSpPr>
          <xdr:spPr>
            <a:xfrm>
              <a:off x="7844105" y="76426218"/>
              <a:ext cx="690563"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√(4𝜋ℏ𝛼/(𝜇_0 𝑐))</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509190</xdr:colOff>
      <xdr:row>303</xdr:row>
      <xdr:rowOff>54051</xdr:rowOff>
    </xdr:from>
    <xdr:ext cx="678655" cy="502920"/>
    <mc:AlternateContent xmlns:mc="http://schemas.openxmlformats.org/markup-compatibility/2006">
      <mc:Choice xmlns:a14="http://schemas.microsoft.com/office/drawing/2010/main" Requires="a14">
        <xdr:sp macro="" textlink="">
          <xdr:nvSpPr>
            <xdr:cNvPr id="138" name="TextBox 137">
              <a:extLst>
                <a:ext uri="{FF2B5EF4-FFF2-40B4-BE49-F238E27FC236}">
                  <a16:creationId xmlns:a16="http://schemas.microsoft.com/office/drawing/2014/main" id="{E534B61F-7235-4603-A25B-28FB4E9E788E}"/>
                </a:ext>
              </a:extLst>
            </xdr:cNvPr>
            <xdr:cNvSpPr txBox="1"/>
          </xdr:nvSpPr>
          <xdr:spPr>
            <a:xfrm>
              <a:off x="9529365" y="88207926"/>
              <a:ext cx="67865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r>
                      <a:rPr lang="en-US" sz="1200" b="0" i="1">
                        <a:solidFill>
                          <a:schemeClr val="tx1">
                            <a:lumMod val="75000"/>
                            <a:lumOff val="25000"/>
                          </a:schemeClr>
                        </a:solidFill>
                        <a:latin typeface="Cambria Math" panose="02040503050406030204" pitchFamily="18" charset="0"/>
                        <a:ea typeface="Cambria Math" panose="02040503050406030204" pitchFamily="18" charset="0"/>
                      </a:rPr>
                      <m:t> </m:t>
                    </m:r>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𝐸</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𝑡</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sSup>
                      <m:sSup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1</m:t>
                                </m:r>
                              </m:num>
                              <m:den>
                                <m:sSub>
                                  <m:sSub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𝐼</m:t>
                                    </m:r>
                                  </m:e>
                                  <m:sub>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𝑝</m:t>
                                    </m:r>
                                  </m:sub>
                                </m:sSub>
                              </m:den>
                            </m:f>
                          </m:e>
                        </m:d>
                      </m:e>
                      <m:sup>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38" name="TextBox 137">
              <a:extLst>
                <a:ext uri="{FF2B5EF4-FFF2-40B4-BE49-F238E27FC236}">
                  <a16:creationId xmlns:a16="http://schemas.microsoft.com/office/drawing/2014/main" id="{E534B61F-7235-4603-A25B-28FB4E9E788E}"/>
                </a:ext>
              </a:extLst>
            </xdr:cNvPr>
            <xdr:cNvSpPr txBox="1"/>
          </xdr:nvSpPr>
          <xdr:spPr>
            <a:xfrm>
              <a:off x="9529365" y="88207926"/>
              <a:ext cx="678655"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latin typeface="Cambria Math" panose="02040503050406030204" pitchFamily="18" charset="0"/>
                  <a:ea typeface="Cambria Math" panose="02040503050406030204" pitchFamily="18" charset="0"/>
                </a:rPr>
                <a:t> </a:t>
              </a: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𝐸_𝑃/𝑡_𝑃  (1/𝐼_𝑝 )^2</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404812</xdr:colOff>
      <xdr:row>274</xdr:row>
      <xdr:rowOff>59531</xdr:rowOff>
    </xdr:from>
    <xdr:ext cx="859630" cy="502920"/>
    <mc:AlternateContent xmlns:mc="http://schemas.openxmlformats.org/markup-compatibility/2006">
      <mc:Choice xmlns:a14="http://schemas.microsoft.com/office/drawing/2010/main" Requires="a14">
        <xdr:sp macro="" textlink="">
          <xdr:nvSpPr>
            <xdr:cNvPr id="139" name="TextBox 138">
              <a:extLst>
                <a:ext uri="{FF2B5EF4-FFF2-40B4-BE49-F238E27FC236}">
                  <a16:creationId xmlns:a16="http://schemas.microsoft.com/office/drawing/2014/main" id="{61B7498A-74EC-4576-B351-2B1983117F5E}"/>
                </a:ext>
              </a:extLst>
            </xdr:cNvPr>
            <xdr:cNvSpPr txBox="1"/>
          </xdr:nvSpPr>
          <xdr:spPr>
            <a:xfrm>
              <a:off x="12853987" y="75821381"/>
              <a:ext cx="85963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𝑒</m:t>
                        </m:r>
                      </m:num>
                      <m:den>
                        <m:rad>
                          <m:radPr>
                            <m:degHide m:val="on"/>
                            <m:ctrlPr>
                              <a:rPr lang="en-US"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radPr>
                          <m:deg/>
                          <m:e>
                            <m:r>
                              <m:rPr>
                                <m:sty m:val="p"/>
                              </m:rPr>
                              <a:rPr lang="el-GR" sz="12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α</m:t>
                            </m:r>
                          </m:e>
                        </m:rad>
                      </m:den>
                    </m:f>
                  </m:oMath>
                </m:oMathPara>
              </a14:m>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39" name="TextBox 138">
              <a:extLst>
                <a:ext uri="{FF2B5EF4-FFF2-40B4-BE49-F238E27FC236}">
                  <a16:creationId xmlns:a16="http://schemas.microsoft.com/office/drawing/2014/main" id="{61B7498A-74EC-4576-B351-2B1983117F5E}"/>
                </a:ext>
              </a:extLst>
            </xdr:cNvPr>
            <xdr:cNvSpPr txBox="1"/>
          </xdr:nvSpPr>
          <xdr:spPr>
            <a:xfrm>
              <a:off x="12853987" y="75821381"/>
              <a:ext cx="859630" cy="50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en-US"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𝑒/√</a:t>
              </a:r>
              <a:r>
                <a:rPr lang="el-GR" sz="12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α</a:t>
              </a:r>
              <a:endParaRPr lang="en-US" sz="12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166684</xdr:colOff>
      <xdr:row>348</xdr:row>
      <xdr:rowOff>155541</xdr:rowOff>
    </xdr:from>
    <xdr:ext cx="1381126" cy="572428"/>
    <mc:AlternateContent xmlns:mc="http://schemas.openxmlformats.org/markup-compatibility/2006">
      <mc:Choice xmlns:a14="http://schemas.microsoft.com/office/drawing/2010/main" Requires="a14">
        <xdr:sp macro="" textlink="">
          <xdr:nvSpPr>
            <xdr:cNvPr id="140" name="TextBox 139">
              <a:extLst>
                <a:ext uri="{FF2B5EF4-FFF2-40B4-BE49-F238E27FC236}">
                  <a16:creationId xmlns:a16="http://schemas.microsoft.com/office/drawing/2014/main" id="{8D157725-A503-4824-9770-E2E66D2D6B2F}"/>
                </a:ext>
              </a:extLst>
            </xdr:cNvPr>
            <xdr:cNvSpPr txBox="1"/>
          </xdr:nvSpPr>
          <xdr:spPr>
            <a:xfrm>
              <a:off x="4043359" y="103406541"/>
              <a:ext cx="1381126" cy="572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600" b="0" i="1">
                        <a:solidFill>
                          <a:srgbClr val="0D95BC"/>
                        </a:solidFill>
                        <a:latin typeface="Cambria Math" panose="02040503050406030204" pitchFamily="18" charset="0"/>
                        <a:ea typeface="Cambria Math" panose="02040503050406030204" pitchFamily="18" charset="0"/>
                      </a:rPr>
                      <m:t>𝐸</m:t>
                    </m:r>
                    <m:r>
                      <a:rPr lang="en-US" sz="1600" b="0" i="1">
                        <a:solidFill>
                          <a:srgbClr val="0D95BC"/>
                        </a:solidFill>
                        <a:latin typeface="Cambria Math" panose="02040503050406030204" pitchFamily="18" charset="0"/>
                        <a:ea typeface="Cambria Math" panose="02040503050406030204" pitchFamily="18" charset="0"/>
                      </a:rPr>
                      <m:t>=</m:t>
                    </m:r>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𝑘</m:t>
                        </m:r>
                      </m:e>
                      <m:sub>
                        <m:r>
                          <a:rPr lang="en-US" sz="1600" b="0" i="1">
                            <a:solidFill>
                              <a:srgbClr val="0D95BC"/>
                            </a:solidFill>
                            <a:latin typeface="Cambria Math" panose="02040503050406030204" pitchFamily="18" charset="0"/>
                            <a:ea typeface="Cambria Math" panose="02040503050406030204" pitchFamily="18" charset="0"/>
                          </a:rPr>
                          <m:t>𝐵</m:t>
                        </m:r>
                      </m:sub>
                    </m:sSub>
                    <m:r>
                      <a:rPr lang="en-US" sz="1600" b="0" i="1">
                        <a:solidFill>
                          <a:srgbClr val="0D95BC"/>
                        </a:solidFill>
                        <a:latin typeface="Cambria Math" panose="02040503050406030204" pitchFamily="18" charset="0"/>
                        <a:ea typeface="Cambria Math" panose="02040503050406030204" pitchFamily="18" charset="0"/>
                      </a:rPr>
                      <m:t>𝑇</m:t>
                    </m:r>
                  </m:oMath>
                </m:oMathPara>
              </a14:m>
              <a:endParaRPr lang="en-US" sz="1600">
                <a:solidFill>
                  <a:srgbClr val="0D95BC"/>
                </a:solidFill>
                <a:latin typeface="Cambria Math" panose="02040503050406030204" pitchFamily="18" charset="0"/>
                <a:ea typeface="Cambria Math" panose="02040503050406030204" pitchFamily="18" charset="0"/>
              </a:endParaRPr>
            </a:p>
          </xdr:txBody>
        </xdr:sp>
      </mc:Choice>
      <mc:Fallback>
        <xdr:sp macro="" textlink="">
          <xdr:nvSpPr>
            <xdr:cNvPr id="140" name="TextBox 139">
              <a:extLst>
                <a:ext uri="{FF2B5EF4-FFF2-40B4-BE49-F238E27FC236}">
                  <a16:creationId xmlns:a16="http://schemas.microsoft.com/office/drawing/2014/main" id="{8D157725-A503-4824-9770-E2E66D2D6B2F}"/>
                </a:ext>
              </a:extLst>
            </xdr:cNvPr>
            <xdr:cNvSpPr txBox="1"/>
          </xdr:nvSpPr>
          <xdr:spPr>
            <a:xfrm>
              <a:off x="4043359" y="103406541"/>
              <a:ext cx="1381126" cy="572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𝐸=𝑘_𝐵 𝑇</a:t>
              </a:r>
              <a:endParaRPr lang="en-US" sz="1600">
                <a:solidFill>
                  <a:srgbClr val="0D95BC"/>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10</xdr:col>
      <xdr:colOff>636056</xdr:colOff>
      <xdr:row>348</xdr:row>
      <xdr:rowOff>98855</xdr:rowOff>
    </xdr:from>
    <xdr:ext cx="563036" cy="685800"/>
    <mc:AlternateContent xmlns:mc="http://schemas.openxmlformats.org/markup-compatibility/2006">
      <mc:Choice xmlns:a14="http://schemas.microsoft.com/office/drawing/2010/main" Requires="a14">
        <xdr:sp macro="" textlink="">
          <xdr:nvSpPr>
            <xdr:cNvPr id="141" name="TextBox 140">
              <a:extLst>
                <a:ext uri="{FF2B5EF4-FFF2-40B4-BE49-F238E27FC236}">
                  <a16:creationId xmlns:a16="http://schemas.microsoft.com/office/drawing/2014/main" id="{5186B43A-4CC5-4B59-A2A9-EAEF5D0B5935}"/>
                </a:ext>
              </a:extLst>
            </xdr:cNvPr>
            <xdr:cNvSpPr txBox="1"/>
          </xdr:nvSpPr>
          <xdr:spPr>
            <a:xfrm>
              <a:off x="16514231" y="103349855"/>
              <a:ext cx="563036"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d>
                      <m:dPr>
                        <m:ctrlPr>
                          <a:rPr lang="en-US" sz="1600" b="0" i="1">
                            <a:solidFill>
                              <a:srgbClr val="EC662C"/>
                            </a:solidFill>
                            <a:effectLst/>
                            <a:latin typeface="Cambria Math" panose="02040503050406030204" pitchFamily="18" charset="0"/>
                            <a:ea typeface="Cambria Math" panose="02040503050406030204" pitchFamily="18" charset="0"/>
                            <a:cs typeface="+mn-cs"/>
                          </a:rPr>
                        </m:ctrlPr>
                      </m:dPr>
                      <m:e>
                        <m:f>
                          <m:fPr>
                            <m:ctrlPr>
                              <a:rPr lang="en-US" sz="1600" b="0" i="1">
                                <a:solidFill>
                                  <a:srgbClr val="EC662C"/>
                                </a:solidFill>
                                <a:effectLst/>
                                <a:latin typeface="Cambria Math" panose="02040503050406030204" pitchFamily="18" charset="0"/>
                                <a:ea typeface="Cambria Math" panose="02040503050406030204" pitchFamily="18" charset="0"/>
                                <a:cs typeface="+mn-cs"/>
                              </a:rPr>
                            </m:ctrlPr>
                          </m:fPr>
                          <m:num>
                            <m:r>
                              <a:rPr lang="en-US" sz="1600" b="0" i="1">
                                <a:solidFill>
                                  <a:srgbClr val="EC662C"/>
                                </a:solidFill>
                                <a:effectLst/>
                                <a:latin typeface="Cambria Math" panose="02040503050406030204" pitchFamily="18" charset="0"/>
                                <a:ea typeface="Cambria Math" panose="02040503050406030204" pitchFamily="18" charset="0"/>
                                <a:cs typeface="+mn-cs"/>
                              </a:rPr>
                              <m:t>𝐴</m:t>
                            </m:r>
                          </m:num>
                          <m:den>
                            <m:sSubSup>
                              <m:sSubSupPr>
                                <m:ctrlPr>
                                  <a:rPr lang="en-US" sz="1600" b="0" i="1">
                                    <a:solidFill>
                                      <a:srgbClr val="EC662C"/>
                                    </a:solidFill>
                                    <a:effectLst/>
                                    <a:latin typeface="Cambria Math" panose="02040503050406030204" pitchFamily="18" charset="0"/>
                                    <a:ea typeface="Cambria Math" panose="02040503050406030204" pitchFamily="18" charset="0"/>
                                    <a:cs typeface="+mn-cs"/>
                                  </a:rPr>
                                </m:ctrlPr>
                              </m:sSubSupPr>
                              <m:e>
                                <m:r>
                                  <a:rPr lang="en-US" sz="1600" b="0" i="1">
                                    <a:solidFill>
                                      <a:srgbClr val="EC662C"/>
                                    </a:solidFill>
                                    <a:effectLst/>
                                    <a:latin typeface="Cambria Math" panose="02040503050406030204" pitchFamily="18" charset="0"/>
                                    <a:ea typeface="Cambria Math" panose="02040503050406030204" pitchFamily="18" charset="0"/>
                                    <a:cs typeface="+mn-cs"/>
                                  </a:rPr>
                                  <m:t>𝑙</m:t>
                                </m:r>
                              </m:e>
                              <m:sub>
                                <m:r>
                                  <a:rPr lang="en-US" sz="1600" b="0" i="1">
                                    <a:solidFill>
                                      <a:srgbClr val="EC662C"/>
                                    </a:solidFill>
                                    <a:effectLst/>
                                    <a:latin typeface="Cambria Math" panose="02040503050406030204" pitchFamily="18" charset="0"/>
                                    <a:ea typeface="Cambria Math" panose="02040503050406030204" pitchFamily="18" charset="0"/>
                                    <a:cs typeface="+mn-cs"/>
                                  </a:rPr>
                                  <m:t>𝑃</m:t>
                                </m:r>
                              </m:sub>
                              <m:sup>
                                <m:r>
                                  <a:rPr lang="en-US" sz="1600" b="0" i="1">
                                    <a:solidFill>
                                      <a:srgbClr val="EC662C"/>
                                    </a:solidFill>
                                    <a:effectLst/>
                                    <a:latin typeface="Cambria Math" panose="02040503050406030204" pitchFamily="18" charset="0"/>
                                    <a:ea typeface="Cambria Math" panose="02040503050406030204" pitchFamily="18" charset="0"/>
                                    <a:cs typeface="+mn-cs"/>
                                  </a:rPr>
                                  <m:t>2</m:t>
                                </m:r>
                              </m:sup>
                            </m:sSubSup>
                          </m:den>
                        </m:f>
                      </m:e>
                    </m:d>
                    <m:r>
                      <a:rPr lang="en-US" sz="16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1" name="TextBox 140">
              <a:extLst>
                <a:ext uri="{FF2B5EF4-FFF2-40B4-BE49-F238E27FC236}">
                  <a16:creationId xmlns:a16="http://schemas.microsoft.com/office/drawing/2014/main" id="{5186B43A-4CC5-4B59-A2A9-EAEF5D0B5935}"/>
                </a:ext>
              </a:extLst>
            </xdr:cNvPr>
            <xdr:cNvSpPr txBox="1"/>
          </xdr:nvSpPr>
          <xdr:spPr>
            <a:xfrm>
              <a:off x="16514231" y="103349855"/>
              <a:ext cx="563036"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EC662C"/>
                  </a:solidFill>
                  <a:effectLst/>
                  <a:latin typeface="Cambria Math" panose="02040503050406030204" pitchFamily="18" charset="0"/>
                  <a:ea typeface="Cambria Math" panose="02040503050406030204" pitchFamily="18" charset="0"/>
                  <a:cs typeface="+mn-cs"/>
                </a:rPr>
                <a:t>(𝐴/(𝑙_𝑃^2 ))</a:t>
              </a: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a:t>
              </a:r>
              <a:r>
                <a:rPr lang="en-US" sz="1600" b="0" i="0">
                  <a:solidFill>
                    <a:schemeClr val="tx1">
                      <a:lumMod val="75000"/>
                      <a:lumOff val="25000"/>
                    </a:schemeClr>
                  </a:solidFill>
                  <a:latin typeface="Cambria Math" panose="02040503050406030204" pitchFamily="18" charset="0"/>
                  <a:ea typeface="Cambria Math" panose="02040503050406030204" pitchFamily="18" charset="0"/>
                </a:rPr>
                <a:t>  </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522816</xdr:colOff>
      <xdr:row>348</xdr:row>
      <xdr:rowOff>98855</xdr:rowOff>
    </xdr:from>
    <xdr:ext cx="694268" cy="685800"/>
    <mc:AlternateContent xmlns:mc="http://schemas.openxmlformats.org/markup-compatibility/2006">
      <mc:Choice xmlns:a14="http://schemas.microsoft.com/office/drawing/2010/main" Requires="a14">
        <xdr:sp macro="" textlink="">
          <xdr:nvSpPr>
            <xdr:cNvPr id="142" name="TextBox 141">
              <a:extLst>
                <a:ext uri="{FF2B5EF4-FFF2-40B4-BE49-F238E27FC236}">
                  <a16:creationId xmlns:a16="http://schemas.microsoft.com/office/drawing/2014/main" id="{C644680F-2058-469C-8B98-D87C84E4D4B1}"/>
                </a:ext>
              </a:extLst>
            </xdr:cNvPr>
            <xdr:cNvSpPr txBox="1"/>
          </xdr:nvSpPr>
          <xdr:spPr>
            <a:xfrm>
              <a:off x="18115491" y="103349855"/>
              <a:ext cx="694268"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d>
                      <m:d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p>
                              <m:sSup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l-GR"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e>
                              <m:sup>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num>
                          <m:den>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60</m:t>
                            </m:r>
                          </m:den>
                        </m:f>
                      </m:e>
                    </m:d>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2" name="TextBox 141">
              <a:extLst>
                <a:ext uri="{FF2B5EF4-FFF2-40B4-BE49-F238E27FC236}">
                  <a16:creationId xmlns:a16="http://schemas.microsoft.com/office/drawing/2014/main" id="{C644680F-2058-469C-8B98-D87C84E4D4B1}"/>
                </a:ext>
              </a:extLst>
            </xdr:cNvPr>
            <xdr:cNvSpPr txBox="1"/>
          </xdr:nvSpPr>
          <xdr:spPr>
            <a:xfrm>
              <a:off x="18115491" y="103349855"/>
              <a:ext cx="694268"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a:t>
              </a:r>
              <a:r>
                <a:rPr lang="el-GR"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𝜋</a:t>
              </a: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^2/60)</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238123</xdr:colOff>
      <xdr:row>348</xdr:row>
      <xdr:rowOff>169037</xdr:rowOff>
    </xdr:from>
    <xdr:ext cx="981077" cy="554169"/>
    <mc:AlternateContent xmlns:mc="http://schemas.openxmlformats.org/markup-compatibility/2006">
      <mc:Choice xmlns:a14="http://schemas.microsoft.com/office/drawing/2010/main" Requires="a14">
        <xdr:sp macro="" textlink="">
          <xdr:nvSpPr>
            <xdr:cNvPr id="143" name="TextBox 142">
              <a:extLst>
                <a:ext uri="{FF2B5EF4-FFF2-40B4-BE49-F238E27FC236}">
                  <a16:creationId xmlns:a16="http://schemas.microsoft.com/office/drawing/2014/main" id="{0E3FF9D3-9652-446B-9B1D-FA5A346ECABF}"/>
                </a:ext>
              </a:extLst>
            </xdr:cNvPr>
            <xdr:cNvSpPr txBox="1"/>
          </xdr:nvSpPr>
          <xdr:spPr>
            <a:xfrm>
              <a:off x="685798" y="103420037"/>
              <a:ext cx="981077" cy="5541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600" b="0" i="1">
                        <a:solidFill>
                          <a:schemeClr val="tx1">
                            <a:lumMod val="75000"/>
                            <a:lumOff val="25000"/>
                          </a:schemeClr>
                        </a:solidFill>
                        <a:latin typeface="Cambria Math" panose="02040503050406030204" pitchFamily="18" charset="0"/>
                        <a:ea typeface="Cambria Math" panose="02040503050406030204" pitchFamily="18" charset="0"/>
                      </a:rPr>
                      <m:t>𝐿</m:t>
                    </m:r>
                    <m:r>
                      <a:rPr lang="en-US" sz="1600" b="0" i="1">
                        <a:solidFill>
                          <a:schemeClr val="tx1">
                            <a:lumMod val="75000"/>
                            <a:lumOff val="25000"/>
                          </a:schemeClr>
                        </a:solidFill>
                        <a:latin typeface="Cambria Math" panose="02040503050406030204" pitchFamily="18" charset="0"/>
                        <a:ea typeface="Cambria Math" panose="02040503050406030204" pitchFamily="18" charset="0"/>
                      </a:rPr>
                      <m:t>=</m:t>
                    </m:r>
                    <m:r>
                      <a:rPr lang="en-US" sz="1600" b="0" i="1">
                        <a:solidFill>
                          <a:schemeClr val="tx1">
                            <a:lumMod val="75000"/>
                            <a:lumOff val="25000"/>
                          </a:schemeClr>
                        </a:solidFill>
                        <a:latin typeface="Cambria Math" panose="02040503050406030204" pitchFamily="18" charset="0"/>
                        <a:ea typeface="Cambria Math" panose="02040503050406030204" pitchFamily="18" charset="0"/>
                      </a:rPr>
                      <m:t>𝜎</m:t>
                    </m:r>
                    <m:r>
                      <a:rPr lang="en-US" sz="1600" b="0" i="1">
                        <a:solidFill>
                          <a:schemeClr val="tx1">
                            <a:lumMod val="75000"/>
                            <a:lumOff val="25000"/>
                          </a:schemeClr>
                        </a:solidFill>
                        <a:latin typeface="Cambria Math" panose="02040503050406030204" pitchFamily="18" charset="0"/>
                        <a:ea typeface="Cambria Math" panose="02040503050406030204" pitchFamily="18" charset="0"/>
                      </a:rPr>
                      <m:t>𝐴</m:t>
                    </m:r>
                    <m:sSup>
                      <m:sSupPr>
                        <m:ctrlPr>
                          <a:rPr lang="en-US" sz="1600" b="0" i="1">
                            <a:solidFill>
                              <a:schemeClr val="tx1">
                                <a:lumMod val="75000"/>
                                <a:lumOff val="25000"/>
                              </a:schemeClr>
                            </a:solidFill>
                            <a:latin typeface="Cambria Math" panose="02040503050406030204" pitchFamily="18" charset="0"/>
                            <a:ea typeface="Cambria Math" panose="02040503050406030204" pitchFamily="18" charset="0"/>
                          </a:rPr>
                        </m:ctrlPr>
                      </m:sSupPr>
                      <m:e>
                        <m:r>
                          <a:rPr lang="en-US" sz="1600" b="0" i="1">
                            <a:solidFill>
                              <a:schemeClr val="tx1">
                                <a:lumMod val="75000"/>
                                <a:lumOff val="25000"/>
                              </a:schemeClr>
                            </a:solidFill>
                            <a:latin typeface="Cambria Math" panose="02040503050406030204" pitchFamily="18" charset="0"/>
                            <a:ea typeface="Cambria Math" panose="02040503050406030204" pitchFamily="18" charset="0"/>
                          </a:rPr>
                          <m:t>𝑇</m:t>
                        </m:r>
                      </m:e>
                      <m:sup>
                        <m:r>
                          <a:rPr lang="en-US" sz="1600" b="0" i="1">
                            <a:solidFill>
                              <a:schemeClr val="tx1">
                                <a:lumMod val="75000"/>
                                <a:lumOff val="25000"/>
                              </a:schemeClr>
                            </a:solidFill>
                            <a:latin typeface="Cambria Math" panose="02040503050406030204" pitchFamily="18" charset="0"/>
                            <a:ea typeface="Cambria Math" panose="02040503050406030204" pitchFamily="18" charset="0"/>
                          </a:rPr>
                          <m:t>4</m:t>
                        </m:r>
                      </m:sup>
                    </m:sSup>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3" name="TextBox 142">
              <a:extLst>
                <a:ext uri="{FF2B5EF4-FFF2-40B4-BE49-F238E27FC236}">
                  <a16:creationId xmlns:a16="http://schemas.microsoft.com/office/drawing/2014/main" id="{0E3FF9D3-9652-446B-9B1D-FA5A346ECABF}"/>
                </a:ext>
              </a:extLst>
            </xdr:cNvPr>
            <xdr:cNvSpPr txBox="1"/>
          </xdr:nvSpPr>
          <xdr:spPr>
            <a:xfrm>
              <a:off x="685798" y="103420037"/>
              <a:ext cx="981077" cy="5541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chemeClr val="tx1">
                      <a:lumMod val="75000"/>
                      <a:lumOff val="25000"/>
                    </a:schemeClr>
                  </a:solidFill>
                  <a:latin typeface="Cambria Math" panose="02040503050406030204" pitchFamily="18" charset="0"/>
                  <a:ea typeface="Cambria Math" panose="02040503050406030204" pitchFamily="18" charset="0"/>
                </a:rPr>
                <a:t>𝐿=𝜎𝐴𝑇^4</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1714498</xdr:colOff>
      <xdr:row>327</xdr:row>
      <xdr:rowOff>125012</xdr:rowOff>
    </xdr:from>
    <xdr:ext cx="2309813" cy="685800"/>
    <mc:AlternateContent xmlns:mc="http://schemas.openxmlformats.org/markup-compatibility/2006">
      <mc:Choice xmlns:a14="http://schemas.microsoft.com/office/drawing/2010/main" Requires="a14">
        <xdr:sp macro="" textlink="">
          <xdr:nvSpPr>
            <xdr:cNvPr id="144" name="TextBox 143">
              <a:extLst>
                <a:ext uri="{FF2B5EF4-FFF2-40B4-BE49-F238E27FC236}">
                  <a16:creationId xmlns:a16="http://schemas.microsoft.com/office/drawing/2014/main" id="{63841E0A-16C5-4E0F-B43A-3C31787E615E}"/>
                </a:ext>
              </a:extLst>
            </xdr:cNvPr>
            <xdr:cNvSpPr txBox="1"/>
          </xdr:nvSpPr>
          <xdr:spPr>
            <a:xfrm>
              <a:off x="2162173" y="96508487"/>
              <a:ext cx="2309813"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𝐿</m:t>
                        </m:r>
                      </m:num>
                      <m:den>
                        <m:sSub>
                          <m:sSub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bPr>
                          <m:e>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e>
                          <m:sub>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sub>
                        </m:sSub>
                      </m:den>
                    </m:f>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m:t>
                    </m:r>
                    <m:f>
                      <m:f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p>
                          <m:sSup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e>
                          <m:sup>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num>
                      <m:den>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60</m:t>
                        </m:r>
                      </m:den>
                    </m:f>
                    <m:sSup>
                      <m:sSupPr>
                        <m:ctrlPr>
                          <a:rPr lang="en-US" sz="1600" b="0" i="1">
                            <a:solidFill>
                              <a:srgbClr val="0D95BC"/>
                            </a:solidFill>
                            <a:effectLst/>
                            <a:latin typeface="Cambria Math" panose="02040503050406030204" pitchFamily="18" charset="0"/>
                            <a:ea typeface="Cambria Math" panose="02040503050406030204" pitchFamily="18" charset="0"/>
                            <a:cs typeface="+mn-cs"/>
                          </a:rPr>
                        </m:ctrlPr>
                      </m:sSupPr>
                      <m:e>
                        <m:d>
                          <m:dPr>
                            <m:ctrlPr>
                              <a:rPr lang="en-US" sz="1600" b="0" i="1">
                                <a:solidFill>
                                  <a:srgbClr val="0D95BC"/>
                                </a:solidFill>
                                <a:effectLst/>
                                <a:latin typeface="Cambria Math" panose="02040503050406030204" pitchFamily="18" charset="0"/>
                                <a:ea typeface="Cambria Math" panose="02040503050406030204" pitchFamily="18" charset="0"/>
                                <a:cs typeface="+mn-cs"/>
                              </a:rPr>
                            </m:ctrlPr>
                          </m:dPr>
                          <m:e>
                            <m:f>
                              <m:fPr>
                                <m:ctrlPr>
                                  <a:rPr lang="en-US" sz="1600" b="0" i="1">
                                    <a:solidFill>
                                      <a:srgbClr val="0D95BC"/>
                                    </a:solidFill>
                                    <a:effectLst/>
                                    <a:latin typeface="Cambria Math" panose="02040503050406030204" pitchFamily="18" charset="0"/>
                                    <a:ea typeface="Cambria Math" panose="02040503050406030204" pitchFamily="18" charset="0"/>
                                    <a:cs typeface="+mn-cs"/>
                                  </a:rPr>
                                </m:ctrlPr>
                              </m:fPr>
                              <m:num>
                                <m:r>
                                  <a:rPr lang="en-US" sz="1600" b="0" i="1">
                                    <a:solidFill>
                                      <a:srgbClr val="0D95BC"/>
                                    </a:solidFill>
                                    <a:effectLst/>
                                    <a:latin typeface="Cambria Math" panose="02040503050406030204" pitchFamily="18" charset="0"/>
                                    <a:ea typeface="Cambria Math" panose="02040503050406030204" pitchFamily="18" charset="0"/>
                                    <a:cs typeface="+mn-cs"/>
                                  </a:rPr>
                                  <m:t>𝐸</m:t>
                                </m:r>
                              </m:num>
                              <m:den>
                                <m:sSub>
                                  <m:sSubPr>
                                    <m:ctrlPr>
                                      <a:rPr lang="en-US" sz="1600" b="0" i="1">
                                        <a:solidFill>
                                          <a:srgbClr val="0D95BC"/>
                                        </a:solidFill>
                                        <a:effectLst/>
                                        <a:latin typeface="Cambria Math" panose="02040503050406030204" pitchFamily="18" charset="0"/>
                                        <a:ea typeface="Cambria Math" panose="02040503050406030204" pitchFamily="18" charset="0"/>
                                        <a:cs typeface="+mn-cs"/>
                                      </a:rPr>
                                    </m:ctrlPr>
                                  </m:sSubPr>
                                  <m:e>
                                    <m:r>
                                      <a:rPr lang="en-US" sz="1600" b="0" i="1">
                                        <a:solidFill>
                                          <a:srgbClr val="0D95BC"/>
                                        </a:solidFill>
                                        <a:effectLst/>
                                        <a:latin typeface="Cambria Math" panose="02040503050406030204" pitchFamily="18" charset="0"/>
                                        <a:ea typeface="Cambria Math" panose="02040503050406030204" pitchFamily="18" charset="0"/>
                                        <a:cs typeface="+mn-cs"/>
                                      </a:rPr>
                                      <m:t>𝐸</m:t>
                                    </m:r>
                                  </m:e>
                                  <m:sub>
                                    <m:r>
                                      <a:rPr lang="en-US" sz="1600" b="0" i="1">
                                        <a:solidFill>
                                          <a:srgbClr val="0D95BC"/>
                                        </a:solidFill>
                                        <a:effectLst/>
                                        <a:latin typeface="Cambria Math" panose="02040503050406030204" pitchFamily="18" charset="0"/>
                                        <a:ea typeface="Cambria Math" panose="02040503050406030204" pitchFamily="18" charset="0"/>
                                        <a:cs typeface="+mn-cs"/>
                                      </a:rPr>
                                      <m:t>𝑃</m:t>
                                    </m:r>
                                  </m:sub>
                                </m:sSub>
                              </m:den>
                            </m:f>
                          </m:e>
                        </m:d>
                      </m:e>
                      <m:sup>
                        <m:r>
                          <a:rPr lang="en-US" sz="1600" b="0" i="1">
                            <a:solidFill>
                              <a:srgbClr val="0D95BC"/>
                            </a:solidFill>
                            <a:effectLst/>
                            <a:latin typeface="Cambria Math" panose="02040503050406030204" pitchFamily="18" charset="0"/>
                            <a:ea typeface="Cambria Math" panose="02040503050406030204" pitchFamily="18" charset="0"/>
                            <a:cs typeface="+mn-cs"/>
                          </a:rPr>
                          <m:t>4</m:t>
                        </m:r>
                      </m:sup>
                    </m:sSup>
                    <m:d>
                      <m:dPr>
                        <m:ctrlPr>
                          <a:rPr lang="en-US" sz="1600" b="0" i="1">
                            <a:solidFill>
                              <a:srgbClr val="EC662C"/>
                            </a:solidFill>
                            <a:effectLst/>
                            <a:latin typeface="Cambria Math" panose="02040503050406030204" pitchFamily="18" charset="0"/>
                            <a:ea typeface="Cambria Math" panose="02040503050406030204" pitchFamily="18" charset="0"/>
                            <a:cs typeface="+mn-cs"/>
                          </a:rPr>
                        </m:ctrlPr>
                      </m:dPr>
                      <m:e>
                        <m:f>
                          <m:fPr>
                            <m:ctrlPr>
                              <a:rPr lang="en-US" sz="1600" b="0" i="1">
                                <a:solidFill>
                                  <a:srgbClr val="EC662C"/>
                                </a:solidFill>
                                <a:effectLst/>
                                <a:latin typeface="Cambria Math" panose="02040503050406030204" pitchFamily="18" charset="0"/>
                                <a:ea typeface="Cambria Math" panose="02040503050406030204" pitchFamily="18" charset="0"/>
                                <a:cs typeface="+mn-cs"/>
                              </a:rPr>
                            </m:ctrlPr>
                          </m:fPr>
                          <m:num>
                            <m:r>
                              <a:rPr lang="en-US" sz="1600" b="0" i="1">
                                <a:solidFill>
                                  <a:srgbClr val="EC662C"/>
                                </a:solidFill>
                                <a:effectLst/>
                                <a:latin typeface="Cambria Math" panose="02040503050406030204" pitchFamily="18" charset="0"/>
                                <a:ea typeface="Cambria Math" panose="02040503050406030204" pitchFamily="18" charset="0"/>
                                <a:cs typeface="+mn-cs"/>
                              </a:rPr>
                              <m:t>𝐴</m:t>
                            </m:r>
                          </m:num>
                          <m:den>
                            <m:sSubSup>
                              <m:sSubSupPr>
                                <m:ctrlPr>
                                  <a:rPr lang="en-US" sz="1600" b="0" i="1">
                                    <a:solidFill>
                                      <a:srgbClr val="EC662C"/>
                                    </a:solidFill>
                                    <a:effectLst/>
                                    <a:latin typeface="Cambria Math" panose="02040503050406030204" pitchFamily="18" charset="0"/>
                                    <a:ea typeface="Cambria Math" panose="02040503050406030204" pitchFamily="18" charset="0"/>
                                    <a:cs typeface="+mn-cs"/>
                                  </a:rPr>
                                </m:ctrlPr>
                              </m:sSubSupPr>
                              <m:e>
                                <m:r>
                                  <a:rPr lang="en-US" sz="1600" b="0" i="1">
                                    <a:solidFill>
                                      <a:srgbClr val="EC662C"/>
                                    </a:solidFill>
                                    <a:effectLst/>
                                    <a:latin typeface="Cambria Math" panose="02040503050406030204" pitchFamily="18" charset="0"/>
                                    <a:ea typeface="Cambria Math" panose="02040503050406030204" pitchFamily="18" charset="0"/>
                                    <a:cs typeface="+mn-cs"/>
                                  </a:rPr>
                                  <m:t>𝑙</m:t>
                                </m:r>
                              </m:e>
                              <m:sub>
                                <m:r>
                                  <a:rPr lang="en-US" sz="1600" b="0" i="1">
                                    <a:solidFill>
                                      <a:srgbClr val="EC662C"/>
                                    </a:solidFill>
                                    <a:effectLst/>
                                    <a:latin typeface="Cambria Math" panose="02040503050406030204" pitchFamily="18" charset="0"/>
                                    <a:ea typeface="Cambria Math" panose="02040503050406030204" pitchFamily="18" charset="0"/>
                                    <a:cs typeface="+mn-cs"/>
                                  </a:rPr>
                                  <m:t>𝑃</m:t>
                                </m:r>
                              </m:sub>
                              <m:sup>
                                <m:r>
                                  <a:rPr lang="en-US" sz="1600" b="0" i="1">
                                    <a:solidFill>
                                      <a:srgbClr val="EC662C"/>
                                    </a:solidFill>
                                    <a:effectLst/>
                                    <a:latin typeface="Cambria Math" panose="02040503050406030204" pitchFamily="18" charset="0"/>
                                    <a:ea typeface="Cambria Math" panose="02040503050406030204" pitchFamily="18" charset="0"/>
                                    <a:cs typeface="+mn-cs"/>
                                  </a:rPr>
                                  <m:t>2</m:t>
                                </m:r>
                              </m:sup>
                            </m:sSubSup>
                          </m:den>
                        </m:f>
                      </m:e>
                    </m:d>
                    <m:r>
                      <a:rPr lang="en-US" sz="16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4" name="TextBox 143">
              <a:extLst>
                <a:ext uri="{FF2B5EF4-FFF2-40B4-BE49-F238E27FC236}">
                  <a16:creationId xmlns:a16="http://schemas.microsoft.com/office/drawing/2014/main" id="{63841E0A-16C5-4E0F-B43A-3C31787E615E}"/>
                </a:ext>
              </a:extLst>
            </xdr:cNvPr>
            <xdr:cNvSpPr txBox="1"/>
          </xdr:nvSpPr>
          <xdr:spPr>
            <a:xfrm>
              <a:off x="2162173" y="96508487"/>
              <a:ext cx="2309813"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𝐿/𝑃_𝑃 =𝜋^2/60</a:t>
              </a:r>
              <a:r>
                <a:rPr lang="en-US" sz="1600" b="0" i="0">
                  <a:solidFill>
                    <a:srgbClr val="0D95BC"/>
                  </a:solidFill>
                  <a:effectLst/>
                  <a:latin typeface="Cambria Math" panose="02040503050406030204" pitchFamily="18" charset="0"/>
                  <a:ea typeface="Cambria Math" panose="02040503050406030204" pitchFamily="18" charset="0"/>
                  <a:cs typeface="+mn-cs"/>
                </a:rPr>
                <a:t> (𝐸/𝐸_𝑃 )^4</a:t>
              </a:r>
              <a:r>
                <a:rPr lang="en-US" sz="1600" b="0" i="0">
                  <a:solidFill>
                    <a:srgbClr val="EC662C"/>
                  </a:solidFill>
                  <a:effectLst/>
                  <a:latin typeface="Cambria Math" panose="02040503050406030204" pitchFamily="18" charset="0"/>
                  <a:ea typeface="Cambria Math" panose="02040503050406030204" pitchFamily="18" charset="0"/>
                  <a:cs typeface="+mn-cs"/>
                </a:rPr>
                <a:t> (𝐴/(𝑙_𝑃^2 ))</a:t>
              </a: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a:t>
              </a:r>
              <a:r>
                <a:rPr lang="en-US" sz="1600" b="0" i="0">
                  <a:solidFill>
                    <a:schemeClr val="tx1">
                      <a:lumMod val="75000"/>
                      <a:lumOff val="25000"/>
                    </a:schemeClr>
                  </a:solidFill>
                  <a:latin typeface="Cambria Math" panose="02040503050406030204" pitchFamily="18" charset="0"/>
                  <a:ea typeface="Cambria Math" panose="02040503050406030204" pitchFamily="18" charset="0"/>
                </a:rPr>
                <a:t>  </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535778</xdr:colOff>
      <xdr:row>337</xdr:row>
      <xdr:rowOff>93116</xdr:rowOff>
    </xdr:from>
    <xdr:ext cx="750093" cy="600770"/>
    <mc:AlternateContent xmlns:mc="http://schemas.openxmlformats.org/markup-compatibility/2006">
      <mc:Choice xmlns:a14="http://schemas.microsoft.com/office/drawing/2010/main" Requires="a14">
        <xdr:sp macro="" textlink="">
          <xdr:nvSpPr>
            <xdr:cNvPr id="145" name="TextBox 144">
              <a:extLst>
                <a:ext uri="{FF2B5EF4-FFF2-40B4-BE49-F238E27FC236}">
                  <a16:creationId xmlns:a16="http://schemas.microsoft.com/office/drawing/2014/main" id="{C767A21E-8348-4627-80D0-C82DA8BC588B}"/>
                </a:ext>
              </a:extLst>
            </xdr:cNvPr>
            <xdr:cNvSpPr txBox="1"/>
          </xdr:nvSpPr>
          <xdr:spPr>
            <a:xfrm>
              <a:off x="4412453" y="99467441"/>
              <a:ext cx="750093" cy="600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d>
                      <m:d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p>
                              <m:sSup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l-GR"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e>
                              <m:sup>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num>
                          <m:den>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60</m:t>
                            </m:r>
                          </m:den>
                        </m:f>
                      </m:e>
                    </m:d>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5" name="TextBox 144">
              <a:extLst>
                <a:ext uri="{FF2B5EF4-FFF2-40B4-BE49-F238E27FC236}">
                  <a16:creationId xmlns:a16="http://schemas.microsoft.com/office/drawing/2014/main" id="{C767A21E-8348-4627-80D0-C82DA8BC588B}"/>
                </a:ext>
              </a:extLst>
            </xdr:cNvPr>
            <xdr:cNvSpPr txBox="1"/>
          </xdr:nvSpPr>
          <xdr:spPr>
            <a:xfrm>
              <a:off x="4412453" y="99467441"/>
              <a:ext cx="750093" cy="600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a:t>
              </a:r>
              <a:r>
                <a:rPr lang="el-GR"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𝜋</a:t>
              </a: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^2/60)</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566735</xdr:colOff>
      <xdr:row>337</xdr:row>
      <xdr:rowOff>83592</xdr:rowOff>
    </xdr:from>
    <xdr:ext cx="623887" cy="619819"/>
    <mc:AlternateContent xmlns:mc="http://schemas.openxmlformats.org/markup-compatibility/2006">
      <mc:Choice xmlns:a14="http://schemas.microsoft.com/office/drawing/2010/main" Requires="a14">
        <xdr:sp macro="" textlink="">
          <xdr:nvSpPr>
            <xdr:cNvPr id="146" name="TextBox 145">
              <a:extLst>
                <a:ext uri="{FF2B5EF4-FFF2-40B4-BE49-F238E27FC236}">
                  <a16:creationId xmlns:a16="http://schemas.microsoft.com/office/drawing/2014/main" id="{D4A9B719-7250-4AD4-961C-23A97BD6F60F}"/>
                </a:ext>
              </a:extLst>
            </xdr:cNvPr>
            <xdr:cNvSpPr txBox="1"/>
          </xdr:nvSpPr>
          <xdr:spPr>
            <a:xfrm>
              <a:off x="9586910" y="99457917"/>
              <a:ext cx="623887" cy="619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d>
                      <m:dPr>
                        <m:ctrlPr>
                          <a:rPr lang="en-US" sz="1600" b="0" i="1">
                            <a:solidFill>
                              <a:srgbClr val="EC662C"/>
                            </a:solidFill>
                            <a:effectLst/>
                            <a:latin typeface="Cambria Math" panose="02040503050406030204" pitchFamily="18" charset="0"/>
                            <a:ea typeface="Cambria Math" panose="02040503050406030204" pitchFamily="18" charset="0"/>
                            <a:cs typeface="+mn-cs"/>
                          </a:rPr>
                        </m:ctrlPr>
                      </m:dPr>
                      <m:e>
                        <m:f>
                          <m:fPr>
                            <m:ctrlPr>
                              <a:rPr lang="en-US" sz="1600" b="0" i="1">
                                <a:solidFill>
                                  <a:srgbClr val="EC662C"/>
                                </a:solidFill>
                                <a:effectLst/>
                                <a:latin typeface="Cambria Math" panose="02040503050406030204" pitchFamily="18" charset="0"/>
                                <a:ea typeface="Cambria Math" panose="02040503050406030204" pitchFamily="18" charset="0"/>
                                <a:cs typeface="+mn-cs"/>
                              </a:rPr>
                            </m:ctrlPr>
                          </m:fPr>
                          <m:num>
                            <m:r>
                              <a:rPr lang="en-US" sz="1600" b="0" i="1">
                                <a:solidFill>
                                  <a:srgbClr val="EC662C"/>
                                </a:solidFill>
                                <a:effectLst/>
                                <a:latin typeface="Cambria Math" panose="02040503050406030204" pitchFamily="18" charset="0"/>
                                <a:ea typeface="Cambria Math" panose="02040503050406030204" pitchFamily="18" charset="0"/>
                                <a:cs typeface="+mn-cs"/>
                              </a:rPr>
                              <m:t>𝐴</m:t>
                            </m:r>
                          </m:num>
                          <m:den>
                            <m:sSubSup>
                              <m:sSubSupPr>
                                <m:ctrlPr>
                                  <a:rPr lang="en-US" sz="1600" b="0" i="1">
                                    <a:solidFill>
                                      <a:srgbClr val="EC662C"/>
                                    </a:solidFill>
                                    <a:effectLst/>
                                    <a:latin typeface="Cambria Math" panose="02040503050406030204" pitchFamily="18" charset="0"/>
                                    <a:ea typeface="Cambria Math" panose="02040503050406030204" pitchFamily="18" charset="0"/>
                                    <a:cs typeface="+mn-cs"/>
                                  </a:rPr>
                                </m:ctrlPr>
                              </m:sSubSupPr>
                              <m:e>
                                <m:r>
                                  <a:rPr lang="en-US" sz="1600" b="0" i="1">
                                    <a:solidFill>
                                      <a:srgbClr val="EC662C"/>
                                    </a:solidFill>
                                    <a:effectLst/>
                                    <a:latin typeface="Cambria Math" panose="02040503050406030204" pitchFamily="18" charset="0"/>
                                    <a:ea typeface="Cambria Math" panose="02040503050406030204" pitchFamily="18" charset="0"/>
                                    <a:cs typeface="+mn-cs"/>
                                  </a:rPr>
                                  <m:t>𝑙</m:t>
                                </m:r>
                              </m:e>
                              <m:sub>
                                <m:r>
                                  <a:rPr lang="en-US" sz="1600" b="0" i="1">
                                    <a:solidFill>
                                      <a:srgbClr val="EC662C"/>
                                    </a:solidFill>
                                    <a:effectLst/>
                                    <a:latin typeface="Cambria Math" panose="02040503050406030204" pitchFamily="18" charset="0"/>
                                    <a:ea typeface="Cambria Math" panose="02040503050406030204" pitchFamily="18" charset="0"/>
                                    <a:cs typeface="+mn-cs"/>
                                  </a:rPr>
                                  <m:t>𝑃</m:t>
                                </m:r>
                              </m:sub>
                              <m:sup>
                                <m:r>
                                  <a:rPr lang="en-US" sz="1600" b="0" i="1">
                                    <a:solidFill>
                                      <a:srgbClr val="EC662C"/>
                                    </a:solidFill>
                                    <a:effectLst/>
                                    <a:latin typeface="Cambria Math" panose="02040503050406030204" pitchFamily="18" charset="0"/>
                                    <a:ea typeface="Cambria Math" panose="02040503050406030204" pitchFamily="18" charset="0"/>
                                    <a:cs typeface="+mn-cs"/>
                                  </a:rPr>
                                  <m:t>2</m:t>
                                </m:r>
                              </m:sup>
                            </m:sSubSup>
                          </m:den>
                        </m:f>
                      </m:e>
                    </m:d>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6" name="TextBox 145">
              <a:extLst>
                <a:ext uri="{FF2B5EF4-FFF2-40B4-BE49-F238E27FC236}">
                  <a16:creationId xmlns:a16="http://schemas.microsoft.com/office/drawing/2014/main" id="{D4A9B719-7250-4AD4-961C-23A97BD6F60F}"/>
                </a:ext>
              </a:extLst>
            </xdr:cNvPr>
            <xdr:cNvSpPr txBox="1"/>
          </xdr:nvSpPr>
          <xdr:spPr>
            <a:xfrm>
              <a:off x="9586910" y="99457917"/>
              <a:ext cx="623887" cy="619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EC662C"/>
                  </a:solidFill>
                  <a:effectLst/>
                  <a:latin typeface="Cambria Math" panose="02040503050406030204" pitchFamily="18" charset="0"/>
                  <a:ea typeface="Cambria Math" panose="02040503050406030204" pitchFamily="18" charset="0"/>
                  <a:cs typeface="+mn-cs"/>
                </a:rPr>
                <a:t>(𝐴/(𝑙_𝑃^2 ))</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11907</xdr:colOff>
      <xdr:row>327</xdr:row>
      <xdr:rowOff>125012</xdr:rowOff>
    </xdr:from>
    <xdr:ext cx="2286000" cy="685800"/>
    <mc:AlternateContent xmlns:mc="http://schemas.openxmlformats.org/markup-compatibility/2006">
      <mc:Choice xmlns:a14="http://schemas.microsoft.com/office/drawing/2010/main" Requires="a14">
        <xdr:sp macro="" textlink="">
          <xdr:nvSpPr>
            <xdr:cNvPr id="147" name="TextBox 146">
              <a:extLst>
                <a:ext uri="{FF2B5EF4-FFF2-40B4-BE49-F238E27FC236}">
                  <a16:creationId xmlns:a16="http://schemas.microsoft.com/office/drawing/2014/main" id="{99242495-5088-4768-9DEF-8139702970E7}"/>
                </a:ext>
              </a:extLst>
            </xdr:cNvPr>
            <xdr:cNvSpPr txBox="1"/>
          </xdr:nvSpPr>
          <xdr:spPr>
            <a:xfrm>
              <a:off x="5603082" y="96508487"/>
              <a:ext cx="2286000"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𝐿</m:t>
                    </m:r>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m:t>
                    </m:r>
                    <m:f>
                      <m:f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p>
                          <m:sSup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e>
                          <m:sup>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num>
                      <m:den>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60</m:t>
                        </m:r>
                      </m:den>
                    </m:f>
                    <m:sSup>
                      <m:sSupPr>
                        <m:ctrlPr>
                          <a:rPr lang="en-US" sz="1600" b="0" i="1">
                            <a:solidFill>
                              <a:srgbClr val="0D95BC"/>
                            </a:solidFill>
                            <a:effectLst/>
                            <a:latin typeface="Cambria Math" panose="02040503050406030204" pitchFamily="18" charset="0"/>
                            <a:ea typeface="Cambria Math" panose="02040503050406030204" pitchFamily="18" charset="0"/>
                            <a:cs typeface="+mn-cs"/>
                          </a:rPr>
                        </m:ctrlPr>
                      </m:sSupPr>
                      <m:e>
                        <m:d>
                          <m:dPr>
                            <m:ctrlPr>
                              <a:rPr lang="en-US" sz="1600" b="0" i="1">
                                <a:solidFill>
                                  <a:srgbClr val="0D95BC"/>
                                </a:solidFill>
                                <a:effectLst/>
                                <a:latin typeface="Cambria Math" panose="02040503050406030204" pitchFamily="18" charset="0"/>
                                <a:ea typeface="Cambria Math" panose="02040503050406030204" pitchFamily="18" charset="0"/>
                                <a:cs typeface="+mn-cs"/>
                              </a:rPr>
                            </m:ctrlPr>
                          </m:dPr>
                          <m:e>
                            <m:f>
                              <m:fPr>
                                <m:ctrlPr>
                                  <a:rPr lang="en-US" sz="1600" b="0" i="1">
                                    <a:solidFill>
                                      <a:srgbClr val="0D95BC"/>
                                    </a:solidFill>
                                    <a:effectLst/>
                                    <a:latin typeface="Cambria Math" panose="02040503050406030204" pitchFamily="18" charset="0"/>
                                    <a:ea typeface="Cambria Math" panose="02040503050406030204" pitchFamily="18" charset="0"/>
                                    <a:cs typeface="+mn-cs"/>
                                  </a:rPr>
                                </m:ctrlPr>
                              </m:fPr>
                              <m:num>
                                <m:r>
                                  <a:rPr lang="en-US" sz="1600" b="0" i="1">
                                    <a:solidFill>
                                      <a:srgbClr val="0D95BC"/>
                                    </a:solidFill>
                                    <a:effectLst/>
                                    <a:latin typeface="Cambria Math" panose="02040503050406030204" pitchFamily="18" charset="0"/>
                                    <a:ea typeface="Cambria Math" panose="02040503050406030204" pitchFamily="18" charset="0"/>
                                    <a:cs typeface="+mn-cs"/>
                                  </a:rPr>
                                  <m:t>𝐸</m:t>
                                </m:r>
                              </m:num>
                              <m:den>
                                <m:sSub>
                                  <m:sSubPr>
                                    <m:ctrlPr>
                                      <a:rPr lang="en-US" sz="1600" b="0" i="1">
                                        <a:solidFill>
                                          <a:srgbClr val="0D95BC"/>
                                        </a:solidFill>
                                        <a:effectLst/>
                                        <a:latin typeface="Cambria Math" panose="02040503050406030204" pitchFamily="18" charset="0"/>
                                        <a:ea typeface="Cambria Math" panose="02040503050406030204" pitchFamily="18" charset="0"/>
                                        <a:cs typeface="+mn-cs"/>
                                      </a:rPr>
                                    </m:ctrlPr>
                                  </m:sSubPr>
                                  <m:e>
                                    <m:r>
                                      <a:rPr lang="en-US" sz="1600" b="0" i="1">
                                        <a:solidFill>
                                          <a:srgbClr val="0D95BC"/>
                                        </a:solidFill>
                                        <a:effectLst/>
                                        <a:latin typeface="Cambria Math" panose="02040503050406030204" pitchFamily="18" charset="0"/>
                                        <a:ea typeface="Cambria Math" panose="02040503050406030204" pitchFamily="18" charset="0"/>
                                        <a:cs typeface="+mn-cs"/>
                                      </a:rPr>
                                      <m:t>𝐸</m:t>
                                    </m:r>
                                  </m:e>
                                  <m:sub>
                                    <m:r>
                                      <a:rPr lang="en-US" sz="1600" b="0" i="1">
                                        <a:solidFill>
                                          <a:srgbClr val="0D95BC"/>
                                        </a:solidFill>
                                        <a:effectLst/>
                                        <a:latin typeface="Cambria Math" panose="02040503050406030204" pitchFamily="18" charset="0"/>
                                        <a:ea typeface="Cambria Math" panose="02040503050406030204" pitchFamily="18" charset="0"/>
                                        <a:cs typeface="+mn-cs"/>
                                      </a:rPr>
                                      <m:t>𝑃</m:t>
                                    </m:r>
                                  </m:sub>
                                </m:sSub>
                              </m:den>
                            </m:f>
                          </m:e>
                        </m:d>
                      </m:e>
                      <m:sup>
                        <m:r>
                          <a:rPr lang="en-US" sz="1600" b="0" i="1">
                            <a:solidFill>
                              <a:srgbClr val="0D95BC"/>
                            </a:solidFill>
                            <a:effectLst/>
                            <a:latin typeface="Cambria Math" panose="02040503050406030204" pitchFamily="18" charset="0"/>
                            <a:ea typeface="Cambria Math" panose="02040503050406030204" pitchFamily="18" charset="0"/>
                            <a:cs typeface="+mn-cs"/>
                          </a:rPr>
                          <m:t>4</m:t>
                        </m:r>
                      </m:sup>
                    </m:sSup>
                    <m:sSub>
                      <m:sSubPr>
                        <m:ctrlPr>
                          <a:rPr lang="en-US" sz="1600" b="0" i="1">
                            <a:solidFill>
                              <a:srgbClr val="0D95BC"/>
                            </a:solidFill>
                            <a:effectLst/>
                            <a:latin typeface="Cambria Math" panose="02040503050406030204" pitchFamily="18" charset="0"/>
                            <a:ea typeface="Cambria Math" panose="02040503050406030204" pitchFamily="18" charset="0"/>
                            <a:cs typeface="+mn-cs"/>
                          </a:rPr>
                        </m:ctrlPr>
                      </m:sSubPr>
                      <m:e>
                        <m:r>
                          <a:rPr lang="en-US" sz="1600" b="0" i="1">
                            <a:solidFill>
                              <a:srgbClr val="0D95BC"/>
                            </a:solidFill>
                            <a:effectLst/>
                            <a:latin typeface="Cambria Math" panose="02040503050406030204" pitchFamily="18" charset="0"/>
                            <a:ea typeface="Cambria Math" panose="02040503050406030204" pitchFamily="18" charset="0"/>
                            <a:cs typeface="+mn-cs"/>
                          </a:rPr>
                          <m:t>𝑃</m:t>
                        </m:r>
                      </m:e>
                      <m:sub>
                        <m:r>
                          <a:rPr lang="en-US" sz="1600" b="0" i="1">
                            <a:solidFill>
                              <a:srgbClr val="0D95BC"/>
                            </a:solidFill>
                            <a:effectLst/>
                            <a:latin typeface="Cambria Math" panose="02040503050406030204" pitchFamily="18" charset="0"/>
                            <a:ea typeface="Cambria Math" panose="02040503050406030204" pitchFamily="18" charset="0"/>
                            <a:cs typeface="+mn-cs"/>
                          </a:rPr>
                          <m:t>𝑝</m:t>
                        </m:r>
                      </m:sub>
                    </m:sSub>
                    <m:d>
                      <m:dPr>
                        <m:ctrlPr>
                          <a:rPr lang="en-US" sz="1600" b="0" i="1">
                            <a:solidFill>
                              <a:srgbClr val="EC662C"/>
                            </a:solidFill>
                            <a:effectLst/>
                            <a:latin typeface="Cambria Math" panose="02040503050406030204" pitchFamily="18" charset="0"/>
                            <a:ea typeface="Cambria Math" panose="02040503050406030204" pitchFamily="18" charset="0"/>
                            <a:cs typeface="+mn-cs"/>
                          </a:rPr>
                        </m:ctrlPr>
                      </m:dPr>
                      <m:e>
                        <m:f>
                          <m:fPr>
                            <m:ctrlPr>
                              <a:rPr lang="en-US" sz="1600" b="0" i="1">
                                <a:solidFill>
                                  <a:srgbClr val="EC662C"/>
                                </a:solidFill>
                                <a:effectLst/>
                                <a:latin typeface="Cambria Math" panose="02040503050406030204" pitchFamily="18" charset="0"/>
                                <a:ea typeface="Cambria Math" panose="02040503050406030204" pitchFamily="18" charset="0"/>
                                <a:cs typeface="+mn-cs"/>
                              </a:rPr>
                            </m:ctrlPr>
                          </m:fPr>
                          <m:num>
                            <m:r>
                              <a:rPr lang="en-US" sz="1600" b="0" i="1">
                                <a:solidFill>
                                  <a:srgbClr val="EC662C"/>
                                </a:solidFill>
                                <a:effectLst/>
                                <a:latin typeface="Cambria Math" panose="02040503050406030204" pitchFamily="18" charset="0"/>
                                <a:ea typeface="Cambria Math" panose="02040503050406030204" pitchFamily="18" charset="0"/>
                                <a:cs typeface="+mn-cs"/>
                              </a:rPr>
                              <m:t>𝐴</m:t>
                            </m:r>
                          </m:num>
                          <m:den>
                            <m:sSubSup>
                              <m:sSubSupPr>
                                <m:ctrlPr>
                                  <a:rPr lang="en-US" sz="1600" b="0" i="1">
                                    <a:solidFill>
                                      <a:srgbClr val="EC662C"/>
                                    </a:solidFill>
                                    <a:effectLst/>
                                    <a:latin typeface="Cambria Math" panose="02040503050406030204" pitchFamily="18" charset="0"/>
                                    <a:ea typeface="Cambria Math" panose="02040503050406030204" pitchFamily="18" charset="0"/>
                                    <a:cs typeface="+mn-cs"/>
                                  </a:rPr>
                                </m:ctrlPr>
                              </m:sSubSupPr>
                              <m:e>
                                <m:r>
                                  <a:rPr lang="en-US" sz="1600" b="0" i="1">
                                    <a:solidFill>
                                      <a:srgbClr val="EC662C"/>
                                    </a:solidFill>
                                    <a:effectLst/>
                                    <a:latin typeface="Cambria Math" panose="02040503050406030204" pitchFamily="18" charset="0"/>
                                    <a:ea typeface="Cambria Math" panose="02040503050406030204" pitchFamily="18" charset="0"/>
                                    <a:cs typeface="+mn-cs"/>
                                  </a:rPr>
                                  <m:t>𝑙</m:t>
                                </m:r>
                              </m:e>
                              <m:sub>
                                <m:r>
                                  <a:rPr lang="en-US" sz="1600" b="0" i="1">
                                    <a:solidFill>
                                      <a:srgbClr val="EC662C"/>
                                    </a:solidFill>
                                    <a:effectLst/>
                                    <a:latin typeface="Cambria Math" panose="02040503050406030204" pitchFamily="18" charset="0"/>
                                    <a:ea typeface="Cambria Math" panose="02040503050406030204" pitchFamily="18" charset="0"/>
                                    <a:cs typeface="+mn-cs"/>
                                  </a:rPr>
                                  <m:t>𝑃</m:t>
                                </m:r>
                              </m:sub>
                              <m:sup>
                                <m:r>
                                  <a:rPr lang="en-US" sz="1600" b="0" i="1">
                                    <a:solidFill>
                                      <a:srgbClr val="EC662C"/>
                                    </a:solidFill>
                                    <a:effectLst/>
                                    <a:latin typeface="Cambria Math" panose="02040503050406030204" pitchFamily="18" charset="0"/>
                                    <a:ea typeface="Cambria Math" panose="02040503050406030204" pitchFamily="18" charset="0"/>
                                    <a:cs typeface="+mn-cs"/>
                                  </a:rPr>
                                  <m:t>2</m:t>
                                </m:r>
                              </m:sup>
                            </m:sSubSup>
                          </m:den>
                        </m:f>
                      </m:e>
                    </m:d>
                    <m:r>
                      <a:rPr lang="en-US" sz="1600" b="0" i="1">
                        <a:solidFill>
                          <a:srgbClr val="0D95BC"/>
                        </a:solidFill>
                        <a:latin typeface="Cambria Math" panose="02040503050406030204" pitchFamily="18" charset="0"/>
                        <a:ea typeface="Cambria Math" panose="02040503050406030204" pitchFamily="18" charset="0"/>
                      </a:rPr>
                      <m:t> </m:t>
                    </m:r>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7" name="TextBox 146">
              <a:extLst>
                <a:ext uri="{FF2B5EF4-FFF2-40B4-BE49-F238E27FC236}">
                  <a16:creationId xmlns:a16="http://schemas.microsoft.com/office/drawing/2014/main" id="{99242495-5088-4768-9DEF-8139702970E7}"/>
                </a:ext>
              </a:extLst>
            </xdr:cNvPr>
            <xdr:cNvSpPr txBox="1"/>
          </xdr:nvSpPr>
          <xdr:spPr>
            <a:xfrm>
              <a:off x="5603082" y="96508487"/>
              <a:ext cx="2286000"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𝐿=𝜋^2/60</a:t>
              </a:r>
              <a:r>
                <a:rPr lang="en-US" sz="1600" b="0" i="0">
                  <a:solidFill>
                    <a:srgbClr val="0D95BC"/>
                  </a:solidFill>
                  <a:effectLst/>
                  <a:latin typeface="Cambria Math" panose="02040503050406030204" pitchFamily="18" charset="0"/>
                  <a:ea typeface="Cambria Math" panose="02040503050406030204" pitchFamily="18" charset="0"/>
                  <a:cs typeface="+mn-cs"/>
                </a:rPr>
                <a:t> (𝐸/𝐸_𝑃 )^4 𝑃_𝑝</a:t>
              </a:r>
              <a:r>
                <a:rPr lang="en-US" sz="1600" b="0" i="0">
                  <a:solidFill>
                    <a:srgbClr val="EC662C"/>
                  </a:solidFill>
                  <a:effectLst/>
                  <a:latin typeface="Cambria Math" panose="02040503050406030204" pitchFamily="18" charset="0"/>
                  <a:ea typeface="Cambria Math" panose="02040503050406030204" pitchFamily="18" charset="0"/>
                  <a:cs typeface="+mn-cs"/>
                </a:rPr>
                <a:t> (𝐴/(𝑙_𝑃^2 ))</a:t>
              </a:r>
              <a:r>
                <a:rPr lang="en-US" sz="1600" b="0" i="0">
                  <a:solidFill>
                    <a:srgbClr val="0D95BC"/>
                  </a:solidFill>
                  <a:effectLst/>
                  <a:latin typeface="Cambria Math" panose="02040503050406030204" pitchFamily="18" charset="0"/>
                  <a:ea typeface="Cambria Math" panose="02040503050406030204" pitchFamily="18" charset="0"/>
                  <a:cs typeface="+mn-cs"/>
                </a:rPr>
                <a:t> </a:t>
              </a:r>
              <a:r>
                <a:rPr lang="en-US" sz="1600" b="0" i="0">
                  <a:solidFill>
                    <a:srgbClr val="0D95BC"/>
                  </a:solidFill>
                  <a:latin typeface="Cambria Math" panose="02040503050406030204" pitchFamily="18" charset="0"/>
                  <a:ea typeface="Cambria Math" panose="02040503050406030204" pitchFamily="18" charset="0"/>
                </a:rPr>
                <a:t> </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595313</xdr:colOff>
      <xdr:row>348</xdr:row>
      <xdr:rowOff>167911</xdr:rowOff>
    </xdr:from>
    <xdr:ext cx="535781" cy="547688"/>
    <mc:AlternateContent xmlns:mc="http://schemas.openxmlformats.org/markup-compatibility/2006">
      <mc:Choice xmlns:a14="http://schemas.microsoft.com/office/drawing/2010/main" Requires="a14">
        <xdr:sp macro="" textlink="">
          <xdr:nvSpPr>
            <xdr:cNvPr id="148" name="TextBox 147">
              <a:extLst>
                <a:ext uri="{FF2B5EF4-FFF2-40B4-BE49-F238E27FC236}">
                  <a16:creationId xmlns:a16="http://schemas.microsoft.com/office/drawing/2014/main" id="{66FF9B81-348F-4EB0-B886-A74C227BFC2B}"/>
                </a:ext>
              </a:extLst>
            </xdr:cNvPr>
            <xdr:cNvSpPr txBox="1"/>
          </xdr:nvSpPr>
          <xdr:spPr>
            <a:xfrm>
              <a:off x="13044488" y="103418911"/>
              <a:ext cx="535781"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𝑃</m:t>
                        </m:r>
                      </m:e>
                      <m:sub>
                        <m:r>
                          <a:rPr lang="en-US" sz="1600" b="0" i="1">
                            <a:solidFill>
                              <a:srgbClr val="0D95BC"/>
                            </a:solidFill>
                            <a:latin typeface="Cambria Math" panose="02040503050406030204" pitchFamily="18" charset="0"/>
                            <a:ea typeface="Cambria Math" panose="02040503050406030204" pitchFamily="18" charset="0"/>
                          </a:rPr>
                          <m:t>𝑝</m:t>
                        </m:r>
                      </m:sub>
                    </m:sSub>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8" name="TextBox 147">
              <a:extLst>
                <a:ext uri="{FF2B5EF4-FFF2-40B4-BE49-F238E27FC236}">
                  <a16:creationId xmlns:a16="http://schemas.microsoft.com/office/drawing/2014/main" id="{66FF9B81-348F-4EB0-B886-A74C227BFC2B}"/>
                </a:ext>
              </a:extLst>
            </xdr:cNvPr>
            <xdr:cNvSpPr txBox="1"/>
          </xdr:nvSpPr>
          <xdr:spPr>
            <a:xfrm>
              <a:off x="13044488" y="103418911"/>
              <a:ext cx="535781"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𝑃_𝑝</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559593</xdr:colOff>
      <xdr:row>348</xdr:row>
      <xdr:rowOff>98855</xdr:rowOff>
    </xdr:from>
    <xdr:ext cx="690563" cy="685800"/>
    <mc:AlternateContent xmlns:mc="http://schemas.openxmlformats.org/markup-compatibility/2006">
      <mc:Choice xmlns:a14="http://schemas.microsoft.com/office/drawing/2010/main" Requires="a14">
        <xdr:sp macro="" textlink="">
          <xdr:nvSpPr>
            <xdr:cNvPr id="149" name="TextBox 148">
              <a:extLst>
                <a:ext uri="{FF2B5EF4-FFF2-40B4-BE49-F238E27FC236}">
                  <a16:creationId xmlns:a16="http://schemas.microsoft.com/office/drawing/2014/main" id="{3BA03D46-A440-4909-ABE6-5885A637ED7F}"/>
                </a:ext>
              </a:extLst>
            </xdr:cNvPr>
            <xdr:cNvSpPr txBox="1"/>
          </xdr:nvSpPr>
          <xdr:spPr>
            <a:xfrm>
              <a:off x="6150768" y="103349855"/>
              <a:ext cx="690563"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600" b="0" i="1">
                            <a:solidFill>
                              <a:srgbClr val="0D95BC"/>
                            </a:solidFill>
                            <a:latin typeface="Cambria Math" panose="02040503050406030204" pitchFamily="18" charset="0"/>
                            <a:ea typeface="Cambria Math" panose="02040503050406030204" pitchFamily="18" charset="0"/>
                          </a:rPr>
                        </m:ctrlPr>
                      </m:fPr>
                      <m:num>
                        <m:r>
                          <a:rPr lang="en-US" sz="1600" b="0" i="1">
                            <a:solidFill>
                              <a:srgbClr val="0D95BC"/>
                            </a:solidFill>
                            <a:latin typeface="Cambria Math" panose="02040503050406030204" pitchFamily="18" charset="0"/>
                            <a:ea typeface="Cambria Math" panose="02040503050406030204" pitchFamily="18" charset="0"/>
                          </a:rPr>
                          <m:t>𝐸</m:t>
                        </m:r>
                      </m:num>
                      <m:den>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𝐸</m:t>
                            </m:r>
                          </m:e>
                          <m:sub>
                            <m:r>
                              <a:rPr lang="en-US" sz="1600" b="0" i="1">
                                <a:solidFill>
                                  <a:srgbClr val="0D95BC"/>
                                </a:solidFill>
                                <a:latin typeface="Cambria Math" panose="02040503050406030204" pitchFamily="18" charset="0"/>
                                <a:ea typeface="Cambria Math" panose="02040503050406030204" pitchFamily="18" charset="0"/>
                              </a:rPr>
                              <m:t>𝑃</m:t>
                            </m:r>
                          </m:sub>
                        </m:sSub>
                      </m:den>
                    </m:f>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49" name="TextBox 148">
              <a:extLst>
                <a:ext uri="{FF2B5EF4-FFF2-40B4-BE49-F238E27FC236}">
                  <a16:creationId xmlns:a16="http://schemas.microsoft.com/office/drawing/2014/main" id="{3BA03D46-A440-4909-ABE6-5885A637ED7F}"/>
                </a:ext>
              </a:extLst>
            </xdr:cNvPr>
            <xdr:cNvSpPr txBox="1"/>
          </xdr:nvSpPr>
          <xdr:spPr>
            <a:xfrm>
              <a:off x="6150768" y="103349855"/>
              <a:ext cx="690563"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𝐸/𝐸_𝑃 </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11914</xdr:colOff>
      <xdr:row>327</xdr:row>
      <xdr:rowOff>125012</xdr:rowOff>
    </xdr:from>
    <xdr:ext cx="1595438" cy="685800"/>
    <mc:AlternateContent xmlns:mc="http://schemas.openxmlformats.org/markup-compatibility/2006">
      <mc:Choice xmlns:a14="http://schemas.microsoft.com/office/drawing/2010/main" Requires="a14">
        <xdr:sp macro="" textlink="">
          <xdr:nvSpPr>
            <xdr:cNvPr id="150" name="TextBox 149">
              <a:extLst>
                <a:ext uri="{FF2B5EF4-FFF2-40B4-BE49-F238E27FC236}">
                  <a16:creationId xmlns:a16="http://schemas.microsoft.com/office/drawing/2014/main" id="{5C524982-63B5-4A75-A995-A7A1699CD852}"/>
                </a:ext>
              </a:extLst>
            </xdr:cNvPr>
            <xdr:cNvSpPr txBox="1"/>
          </xdr:nvSpPr>
          <xdr:spPr>
            <a:xfrm>
              <a:off x="9032089" y="96508487"/>
              <a:ext cx="1595438"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𝐿</m:t>
                    </m:r>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m:t>
                    </m:r>
                    <m:d>
                      <m:d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p>
                              <m:sSupPr>
                                <m:ctrlP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l-GR"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e>
                              <m:sup>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num>
                          <m:den>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60</m:t>
                            </m:r>
                          </m:den>
                        </m:f>
                      </m:e>
                    </m:d>
                    <m:r>
                      <a:rPr lang="en-US" sz="1600" b="0" i="1">
                        <a:solidFill>
                          <a:srgbClr val="0D95BC"/>
                        </a:solidFill>
                        <a:effectLst/>
                        <a:latin typeface="Cambria Math" panose="02040503050406030204" pitchFamily="18" charset="0"/>
                        <a:ea typeface="Cambria Math" panose="02040503050406030204" pitchFamily="18" charset="0"/>
                        <a:cs typeface="+mn-cs"/>
                      </a:rPr>
                      <m:t>𝑃</m:t>
                    </m:r>
                    <m:d>
                      <m:dPr>
                        <m:ctrlPr>
                          <a:rPr lang="en-US" sz="1600" b="0" i="1">
                            <a:solidFill>
                              <a:srgbClr val="EC662C"/>
                            </a:solidFill>
                            <a:effectLst/>
                            <a:latin typeface="Cambria Math" panose="02040503050406030204" pitchFamily="18" charset="0"/>
                            <a:ea typeface="Cambria Math" panose="02040503050406030204" pitchFamily="18" charset="0"/>
                            <a:cs typeface="+mn-cs"/>
                          </a:rPr>
                        </m:ctrlPr>
                      </m:dPr>
                      <m:e>
                        <m:f>
                          <m:fPr>
                            <m:ctrlPr>
                              <a:rPr lang="en-US" sz="1600" b="0" i="1">
                                <a:solidFill>
                                  <a:srgbClr val="EC662C"/>
                                </a:solidFill>
                                <a:effectLst/>
                                <a:latin typeface="Cambria Math" panose="02040503050406030204" pitchFamily="18" charset="0"/>
                                <a:ea typeface="Cambria Math" panose="02040503050406030204" pitchFamily="18" charset="0"/>
                                <a:cs typeface="+mn-cs"/>
                              </a:rPr>
                            </m:ctrlPr>
                          </m:fPr>
                          <m:num>
                            <m:r>
                              <a:rPr lang="en-US" sz="1600" b="0" i="1">
                                <a:solidFill>
                                  <a:srgbClr val="EC662C"/>
                                </a:solidFill>
                                <a:effectLst/>
                                <a:latin typeface="Cambria Math" panose="02040503050406030204" pitchFamily="18" charset="0"/>
                                <a:ea typeface="Cambria Math" panose="02040503050406030204" pitchFamily="18" charset="0"/>
                                <a:cs typeface="+mn-cs"/>
                              </a:rPr>
                              <m:t>𝐴</m:t>
                            </m:r>
                          </m:num>
                          <m:den>
                            <m:sSubSup>
                              <m:sSubSupPr>
                                <m:ctrlPr>
                                  <a:rPr lang="en-US" sz="1600" b="0" i="1">
                                    <a:solidFill>
                                      <a:srgbClr val="EC662C"/>
                                    </a:solidFill>
                                    <a:effectLst/>
                                    <a:latin typeface="Cambria Math" panose="02040503050406030204" pitchFamily="18" charset="0"/>
                                    <a:ea typeface="Cambria Math" panose="02040503050406030204" pitchFamily="18" charset="0"/>
                                    <a:cs typeface="+mn-cs"/>
                                  </a:rPr>
                                </m:ctrlPr>
                              </m:sSubSupPr>
                              <m:e>
                                <m:r>
                                  <a:rPr lang="en-US" sz="1600" b="0" i="1">
                                    <a:solidFill>
                                      <a:srgbClr val="EC662C"/>
                                    </a:solidFill>
                                    <a:effectLst/>
                                    <a:latin typeface="Cambria Math" panose="02040503050406030204" pitchFamily="18" charset="0"/>
                                    <a:ea typeface="Cambria Math" panose="02040503050406030204" pitchFamily="18" charset="0"/>
                                    <a:cs typeface="+mn-cs"/>
                                  </a:rPr>
                                  <m:t>𝑙</m:t>
                                </m:r>
                              </m:e>
                              <m:sub>
                                <m:r>
                                  <a:rPr lang="en-US" sz="1600" b="0" i="1">
                                    <a:solidFill>
                                      <a:srgbClr val="EC662C"/>
                                    </a:solidFill>
                                    <a:effectLst/>
                                    <a:latin typeface="Cambria Math" panose="02040503050406030204" pitchFamily="18" charset="0"/>
                                    <a:ea typeface="Cambria Math" panose="02040503050406030204" pitchFamily="18" charset="0"/>
                                    <a:cs typeface="+mn-cs"/>
                                  </a:rPr>
                                  <m:t>𝑃</m:t>
                                </m:r>
                              </m:sub>
                              <m:sup>
                                <m:r>
                                  <a:rPr lang="en-US" sz="1600" b="0" i="1">
                                    <a:solidFill>
                                      <a:srgbClr val="EC662C"/>
                                    </a:solidFill>
                                    <a:effectLst/>
                                    <a:latin typeface="Cambria Math" panose="02040503050406030204" pitchFamily="18" charset="0"/>
                                    <a:ea typeface="Cambria Math" panose="02040503050406030204" pitchFamily="18" charset="0"/>
                                    <a:cs typeface="+mn-cs"/>
                                  </a:rPr>
                                  <m:t>2</m:t>
                                </m:r>
                              </m:sup>
                            </m:sSubSup>
                          </m:den>
                        </m:f>
                      </m:e>
                    </m:d>
                    <m:r>
                      <a:rPr lang="en-US" sz="16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0" name="TextBox 149">
              <a:extLst>
                <a:ext uri="{FF2B5EF4-FFF2-40B4-BE49-F238E27FC236}">
                  <a16:creationId xmlns:a16="http://schemas.microsoft.com/office/drawing/2014/main" id="{5C524982-63B5-4A75-A995-A7A1699CD852}"/>
                </a:ext>
              </a:extLst>
            </xdr:cNvPr>
            <xdr:cNvSpPr txBox="1"/>
          </xdr:nvSpPr>
          <xdr:spPr>
            <a:xfrm>
              <a:off x="9032089" y="96508487"/>
              <a:ext cx="1595438"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𝐿=(</a:t>
              </a:r>
              <a:r>
                <a:rPr lang="el-GR"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𝜋</a:t>
              </a: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^2/60)</a:t>
              </a:r>
              <a:r>
                <a:rPr lang="en-US" sz="1600" b="0" i="0">
                  <a:solidFill>
                    <a:srgbClr val="0D95BC"/>
                  </a:solidFill>
                  <a:effectLst/>
                  <a:latin typeface="Cambria Math" panose="02040503050406030204" pitchFamily="18" charset="0"/>
                  <a:ea typeface="Cambria Math" panose="02040503050406030204" pitchFamily="18" charset="0"/>
                  <a:cs typeface="+mn-cs"/>
                </a:rPr>
                <a:t>𝑃</a:t>
              </a:r>
              <a:r>
                <a:rPr lang="en-US" sz="1600" b="0" i="0">
                  <a:solidFill>
                    <a:srgbClr val="EC662C"/>
                  </a:solidFill>
                  <a:effectLst/>
                  <a:latin typeface="Cambria Math" panose="02040503050406030204" pitchFamily="18" charset="0"/>
                  <a:ea typeface="Cambria Math" panose="02040503050406030204" pitchFamily="18" charset="0"/>
                  <a:cs typeface="+mn-cs"/>
                </a:rPr>
                <a:t>(𝐴/(𝑙_𝑃^2 ))</a:t>
              </a: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a:t>
              </a:r>
              <a:r>
                <a:rPr lang="en-US" sz="1600" b="0" i="0">
                  <a:solidFill>
                    <a:schemeClr val="tx1">
                      <a:lumMod val="75000"/>
                      <a:lumOff val="25000"/>
                    </a:schemeClr>
                  </a:solidFill>
                  <a:latin typeface="Cambria Math" panose="02040503050406030204" pitchFamily="18" charset="0"/>
                  <a:ea typeface="Cambria Math" panose="02040503050406030204" pitchFamily="18" charset="0"/>
                </a:rPr>
                <a:t> </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12</xdr:col>
      <xdr:colOff>59532</xdr:colOff>
      <xdr:row>348</xdr:row>
      <xdr:rowOff>99699</xdr:rowOff>
    </xdr:from>
    <xdr:ext cx="1535906" cy="684113"/>
    <mc:AlternateContent xmlns:mc="http://schemas.openxmlformats.org/markup-compatibility/2006">
      <mc:Choice xmlns:a14="http://schemas.microsoft.com/office/drawing/2010/main" Requires="a14">
        <xdr:sp macro="" textlink="">
          <xdr:nvSpPr>
            <xdr:cNvPr id="151" name="TextBox 150">
              <a:extLst>
                <a:ext uri="{FF2B5EF4-FFF2-40B4-BE49-F238E27FC236}">
                  <a16:creationId xmlns:a16="http://schemas.microsoft.com/office/drawing/2014/main" id="{76BC3EB7-98C1-4E00-98B2-E627C5B7FE0E}"/>
                </a:ext>
              </a:extLst>
            </xdr:cNvPr>
            <xdr:cNvSpPr txBox="1"/>
          </xdr:nvSpPr>
          <xdr:spPr>
            <a:xfrm>
              <a:off x="19366707" y="103350699"/>
              <a:ext cx="1535906" cy="6841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𝐿</m:t>
                    </m:r>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m:t>
                    </m:r>
                    <m:d>
                      <m:d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dPr>
                      <m:e>
                        <m:f>
                          <m:f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fPr>
                          <m:num>
                            <m:sSup>
                              <m:sSupPr>
                                <m:ctrlP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ctrlPr>
                              </m:sSupPr>
                              <m:e>
                                <m:r>
                                  <a:rPr lang="el-GR"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𝜋</m:t>
                                </m:r>
                              </m:e>
                              <m:sup>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2</m:t>
                                </m:r>
                              </m:sup>
                            </m:sSup>
                          </m:num>
                          <m:den>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60</m:t>
                            </m:r>
                          </m:den>
                        </m:f>
                      </m:e>
                    </m:d>
                    <m:r>
                      <a:rPr lang="en-US" sz="14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𝑃</m:t>
                    </m:r>
                    <m:d>
                      <m:dPr>
                        <m:ctrlPr>
                          <a:rPr lang="en-US" sz="1400" b="0" i="1">
                            <a:solidFill>
                              <a:srgbClr val="EC662C"/>
                            </a:solidFill>
                            <a:effectLst/>
                            <a:latin typeface="Cambria Math" panose="02040503050406030204" pitchFamily="18" charset="0"/>
                            <a:ea typeface="Cambria Math" panose="02040503050406030204" pitchFamily="18" charset="0"/>
                            <a:cs typeface="+mn-cs"/>
                          </a:rPr>
                        </m:ctrlPr>
                      </m:dPr>
                      <m:e>
                        <m:f>
                          <m:fPr>
                            <m:ctrlPr>
                              <a:rPr lang="en-US" sz="1400" b="0" i="1">
                                <a:solidFill>
                                  <a:srgbClr val="EC662C"/>
                                </a:solidFill>
                                <a:effectLst/>
                                <a:latin typeface="Cambria Math" panose="02040503050406030204" pitchFamily="18" charset="0"/>
                                <a:ea typeface="Cambria Math" panose="02040503050406030204" pitchFamily="18" charset="0"/>
                                <a:cs typeface="+mn-cs"/>
                              </a:rPr>
                            </m:ctrlPr>
                          </m:fPr>
                          <m:num>
                            <m:r>
                              <a:rPr lang="en-US" sz="1400" b="0" i="1">
                                <a:solidFill>
                                  <a:srgbClr val="EC662C"/>
                                </a:solidFill>
                                <a:effectLst/>
                                <a:latin typeface="Cambria Math" panose="02040503050406030204" pitchFamily="18" charset="0"/>
                                <a:ea typeface="Cambria Math" panose="02040503050406030204" pitchFamily="18" charset="0"/>
                                <a:cs typeface="+mn-cs"/>
                              </a:rPr>
                              <m:t>𝐴</m:t>
                            </m:r>
                          </m:num>
                          <m:den>
                            <m:sSubSup>
                              <m:sSubSupPr>
                                <m:ctrlPr>
                                  <a:rPr lang="en-US" sz="1400" b="0" i="1">
                                    <a:solidFill>
                                      <a:srgbClr val="EC662C"/>
                                    </a:solidFill>
                                    <a:effectLst/>
                                    <a:latin typeface="Cambria Math" panose="02040503050406030204" pitchFamily="18" charset="0"/>
                                    <a:ea typeface="Cambria Math" panose="02040503050406030204" pitchFamily="18" charset="0"/>
                                    <a:cs typeface="+mn-cs"/>
                                  </a:rPr>
                                </m:ctrlPr>
                              </m:sSubSupPr>
                              <m:e>
                                <m:r>
                                  <a:rPr lang="en-US" sz="1400" b="0" i="1">
                                    <a:solidFill>
                                      <a:srgbClr val="EC662C"/>
                                    </a:solidFill>
                                    <a:effectLst/>
                                    <a:latin typeface="Cambria Math" panose="02040503050406030204" pitchFamily="18" charset="0"/>
                                    <a:ea typeface="Cambria Math" panose="02040503050406030204" pitchFamily="18" charset="0"/>
                                    <a:cs typeface="+mn-cs"/>
                                  </a:rPr>
                                  <m:t>𝑙</m:t>
                                </m:r>
                              </m:e>
                              <m:sub>
                                <m:r>
                                  <a:rPr lang="en-US" sz="1400" b="0" i="1">
                                    <a:solidFill>
                                      <a:srgbClr val="EC662C"/>
                                    </a:solidFill>
                                    <a:effectLst/>
                                    <a:latin typeface="Cambria Math" panose="02040503050406030204" pitchFamily="18" charset="0"/>
                                    <a:ea typeface="Cambria Math" panose="02040503050406030204" pitchFamily="18" charset="0"/>
                                    <a:cs typeface="+mn-cs"/>
                                  </a:rPr>
                                  <m:t>𝑃</m:t>
                                </m:r>
                              </m:sub>
                              <m:sup>
                                <m:r>
                                  <a:rPr lang="en-US" sz="1400" b="0" i="1">
                                    <a:solidFill>
                                      <a:srgbClr val="EC662C"/>
                                    </a:solidFill>
                                    <a:effectLst/>
                                    <a:latin typeface="Cambria Math" panose="02040503050406030204" pitchFamily="18" charset="0"/>
                                    <a:ea typeface="Cambria Math" panose="02040503050406030204" pitchFamily="18" charset="0"/>
                                    <a:cs typeface="+mn-cs"/>
                                  </a:rPr>
                                  <m:t>2</m:t>
                                </m:r>
                              </m:sup>
                            </m:sSubSup>
                          </m:den>
                        </m:f>
                      </m:e>
                    </m:d>
                    <m:r>
                      <a:rPr lang="en-US" sz="1400" b="0" i="1">
                        <a:solidFill>
                          <a:schemeClr val="tx1">
                            <a:lumMod val="75000"/>
                            <a:lumOff val="25000"/>
                          </a:schemeClr>
                        </a:solidFill>
                        <a:latin typeface="Cambria Math" panose="02040503050406030204" pitchFamily="18" charset="0"/>
                        <a:ea typeface="Cambria Math" panose="02040503050406030204" pitchFamily="18" charset="0"/>
                      </a:rPr>
                      <m:t> </m:t>
                    </m:r>
                  </m:oMath>
                </m:oMathPara>
              </a14:m>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1" name="TextBox 150">
              <a:extLst>
                <a:ext uri="{FF2B5EF4-FFF2-40B4-BE49-F238E27FC236}">
                  <a16:creationId xmlns:a16="http://schemas.microsoft.com/office/drawing/2014/main" id="{76BC3EB7-98C1-4E00-98B2-E627C5B7FE0E}"/>
                </a:ext>
              </a:extLst>
            </xdr:cNvPr>
            <xdr:cNvSpPr txBox="1"/>
          </xdr:nvSpPr>
          <xdr:spPr>
            <a:xfrm>
              <a:off x="19366707" y="103350699"/>
              <a:ext cx="1535906" cy="6841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𝐿=(</a:t>
              </a:r>
              <a:r>
                <a:rPr lang="el-GR"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𝜋</a:t>
              </a: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^2/60)𝑃</a:t>
              </a:r>
              <a:r>
                <a:rPr lang="en-US" sz="1400" b="0" i="0">
                  <a:solidFill>
                    <a:srgbClr val="EC662C"/>
                  </a:solidFill>
                  <a:effectLst/>
                  <a:latin typeface="Cambria Math" panose="02040503050406030204" pitchFamily="18" charset="0"/>
                  <a:ea typeface="Cambria Math" panose="02040503050406030204" pitchFamily="18" charset="0"/>
                  <a:cs typeface="+mn-cs"/>
                </a:rPr>
                <a:t>(𝐴/(𝑙_𝑃^2 ))</a:t>
              </a:r>
              <a:r>
                <a:rPr lang="en-US" sz="14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 </a:t>
              </a:r>
              <a:r>
                <a:rPr lang="en-US" sz="1400" b="0" i="0">
                  <a:solidFill>
                    <a:schemeClr val="tx1">
                      <a:lumMod val="75000"/>
                      <a:lumOff val="25000"/>
                    </a:schemeClr>
                  </a:solidFill>
                  <a:latin typeface="Cambria Math" panose="02040503050406030204" pitchFamily="18" charset="0"/>
                  <a:ea typeface="Cambria Math" panose="02040503050406030204" pitchFamily="18" charset="0"/>
                </a:rPr>
                <a:t> </a:t>
              </a:r>
              <a:endParaRPr lang="en-US" sz="14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642938</xdr:colOff>
      <xdr:row>337</xdr:row>
      <xdr:rowOff>140741</xdr:rowOff>
    </xdr:from>
    <xdr:ext cx="464344" cy="505520"/>
    <mc:AlternateContent xmlns:mc="http://schemas.openxmlformats.org/markup-compatibility/2006">
      <mc:Choice xmlns:a14="http://schemas.microsoft.com/office/drawing/2010/main" Requires="a14">
        <xdr:sp macro="" textlink="">
          <xdr:nvSpPr>
            <xdr:cNvPr id="152" name="TextBox 151">
              <a:extLst>
                <a:ext uri="{FF2B5EF4-FFF2-40B4-BE49-F238E27FC236}">
                  <a16:creationId xmlns:a16="http://schemas.microsoft.com/office/drawing/2014/main" id="{83A01170-6F37-4D98-A541-839F22074259}"/>
                </a:ext>
              </a:extLst>
            </xdr:cNvPr>
            <xdr:cNvSpPr txBox="1"/>
          </xdr:nvSpPr>
          <xdr:spPr>
            <a:xfrm>
              <a:off x="11377613" y="99515066"/>
              <a:ext cx="464344" cy="505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600" b="0" i="1">
                        <a:solidFill>
                          <a:schemeClr val="tx1">
                            <a:lumMod val="75000"/>
                            <a:lumOff val="25000"/>
                          </a:schemeClr>
                        </a:solidFill>
                        <a:effectLst/>
                        <a:latin typeface="Cambria Math" panose="02040503050406030204" pitchFamily="18" charset="0"/>
                        <a:ea typeface="Cambria Math" panose="02040503050406030204" pitchFamily="18" charset="0"/>
                        <a:cs typeface="+mn-cs"/>
                      </a:rPr>
                      <m:t>𝐿</m:t>
                    </m:r>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2" name="TextBox 151">
              <a:extLst>
                <a:ext uri="{FF2B5EF4-FFF2-40B4-BE49-F238E27FC236}">
                  <a16:creationId xmlns:a16="http://schemas.microsoft.com/office/drawing/2014/main" id="{83A01170-6F37-4D98-A541-839F22074259}"/>
                </a:ext>
              </a:extLst>
            </xdr:cNvPr>
            <xdr:cNvSpPr txBox="1"/>
          </xdr:nvSpPr>
          <xdr:spPr>
            <a:xfrm>
              <a:off x="11377613" y="99515066"/>
              <a:ext cx="464344" cy="505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chemeClr val="tx1">
                      <a:lumMod val="75000"/>
                      <a:lumOff val="25000"/>
                    </a:schemeClr>
                  </a:solidFill>
                  <a:effectLst/>
                  <a:latin typeface="Cambria Math" panose="02040503050406030204" pitchFamily="18" charset="0"/>
                  <a:ea typeface="Cambria Math" panose="02040503050406030204" pitchFamily="18" charset="0"/>
                  <a:cs typeface="+mn-cs"/>
                </a:rPr>
                <a:t>𝐿</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547688</xdr:colOff>
      <xdr:row>348</xdr:row>
      <xdr:rowOff>98855</xdr:rowOff>
    </xdr:from>
    <xdr:ext cx="569119" cy="685800"/>
    <mc:AlternateContent xmlns:mc="http://schemas.openxmlformats.org/markup-compatibility/2006">
      <mc:Choice xmlns:a14="http://schemas.microsoft.com/office/drawing/2010/main" Requires="a14">
        <xdr:sp macro="" textlink="">
          <xdr:nvSpPr>
            <xdr:cNvPr id="153" name="TextBox 152">
              <a:extLst>
                <a:ext uri="{FF2B5EF4-FFF2-40B4-BE49-F238E27FC236}">
                  <a16:creationId xmlns:a16="http://schemas.microsoft.com/office/drawing/2014/main" id="{A6378C4A-0EE7-4262-8964-31B3F959E1D2}"/>
                </a:ext>
              </a:extLst>
            </xdr:cNvPr>
            <xdr:cNvSpPr txBox="1"/>
          </xdr:nvSpPr>
          <xdr:spPr>
            <a:xfrm>
              <a:off x="7853363" y="103349855"/>
              <a:ext cx="569119"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600" b="0" i="1">
                            <a:solidFill>
                              <a:srgbClr val="0D95BC"/>
                            </a:solidFill>
                            <a:latin typeface="Cambria Math" panose="02040503050406030204" pitchFamily="18" charset="0"/>
                            <a:ea typeface="Cambria Math" panose="02040503050406030204" pitchFamily="18" charset="0"/>
                          </a:rPr>
                        </m:ctrlPr>
                      </m:fPr>
                      <m:num>
                        <m:r>
                          <a:rPr lang="en-US" sz="1600" b="0" i="1">
                            <a:solidFill>
                              <a:srgbClr val="0D95BC"/>
                            </a:solidFill>
                            <a:latin typeface="Cambria Math" panose="02040503050406030204" pitchFamily="18" charset="0"/>
                            <a:ea typeface="Cambria Math" panose="02040503050406030204" pitchFamily="18" charset="0"/>
                          </a:rPr>
                          <m:t>𝜏</m:t>
                        </m:r>
                      </m:num>
                      <m:den>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𝑡</m:t>
                            </m:r>
                          </m:e>
                          <m:sub>
                            <m:r>
                              <a:rPr lang="en-US" sz="1600" b="0" i="1">
                                <a:solidFill>
                                  <a:srgbClr val="0D95BC"/>
                                </a:solidFill>
                                <a:latin typeface="Cambria Math" panose="02040503050406030204" pitchFamily="18" charset="0"/>
                                <a:ea typeface="Cambria Math" panose="02040503050406030204" pitchFamily="18" charset="0"/>
                              </a:rPr>
                              <m:t>𝑃</m:t>
                            </m:r>
                          </m:sub>
                        </m:sSub>
                      </m:den>
                    </m:f>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3" name="TextBox 152">
              <a:extLst>
                <a:ext uri="{FF2B5EF4-FFF2-40B4-BE49-F238E27FC236}">
                  <a16:creationId xmlns:a16="http://schemas.microsoft.com/office/drawing/2014/main" id="{A6378C4A-0EE7-4262-8964-31B3F959E1D2}"/>
                </a:ext>
              </a:extLst>
            </xdr:cNvPr>
            <xdr:cNvSpPr txBox="1"/>
          </xdr:nvSpPr>
          <xdr:spPr>
            <a:xfrm>
              <a:off x="7853363" y="103349855"/>
              <a:ext cx="569119"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𝜏/𝑡_𝑃 </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545307</xdr:colOff>
      <xdr:row>337</xdr:row>
      <xdr:rowOff>47624</xdr:rowOff>
    </xdr:from>
    <xdr:ext cx="752476" cy="691754"/>
    <mc:AlternateContent xmlns:mc="http://schemas.openxmlformats.org/markup-compatibility/2006">
      <mc:Choice xmlns:a14="http://schemas.microsoft.com/office/drawing/2010/main" Requires="a14">
        <xdr:sp macro="" textlink="">
          <xdr:nvSpPr>
            <xdr:cNvPr id="154" name="TextBox 153">
              <a:extLst>
                <a:ext uri="{FF2B5EF4-FFF2-40B4-BE49-F238E27FC236}">
                  <a16:creationId xmlns:a16="http://schemas.microsoft.com/office/drawing/2014/main" id="{29FF6AEC-6164-4CFD-9A18-266C1EA6697D}"/>
                </a:ext>
              </a:extLst>
            </xdr:cNvPr>
            <xdr:cNvSpPr txBox="1"/>
          </xdr:nvSpPr>
          <xdr:spPr>
            <a:xfrm>
              <a:off x="6136482" y="99421949"/>
              <a:ext cx="752476" cy="691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sSup>
                      <m:sSupPr>
                        <m:ctrlPr>
                          <a:rPr lang="en-US" sz="1600" b="0" i="1">
                            <a:solidFill>
                              <a:srgbClr val="0D95BC"/>
                            </a:solidFill>
                            <a:latin typeface="Cambria Math" panose="02040503050406030204" pitchFamily="18" charset="0"/>
                            <a:ea typeface="Cambria Math" panose="02040503050406030204" pitchFamily="18" charset="0"/>
                          </a:rPr>
                        </m:ctrlPr>
                      </m:sSupPr>
                      <m:e>
                        <m:d>
                          <m:dPr>
                            <m:ctrlPr>
                              <a:rPr lang="en-US" sz="1600" b="0" i="1">
                                <a:solidFill>
                                  <a:srgbClr val="0D95BC"/>
                                </a:solidFill>
                                <a:latin typeface="Cambria Math" panose="02040503050406030204" pitchFamily="18" charset="0"/>
                                <a:ea typeface="Cambria Math" panose="02040503050406030204" pitchFamily="18" charset="0"/>
                              </a:rPr>
                            </m:ctrlPr>
                          </m:dPr>
                          <m:e>
                            <m:f>
                              <m:fPr>
                                <m:ctrlPr>
                                  <a:rPr lang="en-US" sz="1600" b="0" i="1">
                                    <a:solidFill>
                                      <a:srgbClr val="0D95BC"/>
                                    </a:solidFill>
                                    <a:latin typeface="Cambria Math" panose="02040503050406030204" pitchFamily="18" charset="0"/>
                                    <a:ea typeface="Cambria Math" panose="02040503050406030204" pitchFamily="18" charset="0"/>
                                  </a:rPr>
                                </m:ctrlPr>
                              </m:fPr>
                              <m:num>
                                <m:r>
                                  <a:rPr lang="en-US" sz="1600" b="0" i="1">
                                    <a:solidFill>
                                      <a:srgbClr val="0D95BC"/>
                                    </a:solidFill>
                                    <a:latin typeface="Cambria Math" panose="02040503050406030204" pitchFamily="18" charset="0"/>
                                    <a:ea typeface="Cambria Math" panose="02040503050406030204" pitchFamily="18" charset="0"/>
                                  </a:rPr>
                                  <m:t>𝐸</m:t>
                                </m:r>
                              </m:num>
                              <m:den>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𝐸</m:t>
                                    </m:r>
                                  </m:e>
                                  <m:sub>
                                    <m:r>
                                      <a:rPr lang="en-US" sz="1600" b="0" i="1">
                                        <a:solidFill>
                                          <a:srgbClr val="0D95BC"/>
                                        </a:solidFill>
                                        <a:latin typeface="Cambria Math" panose="02040503050406030204" pitchFamily="18" charset="0"/>
                                        <a:ea typeface="Cambria Math" panose="02040503050406030204" pitchFamily="18" charset="0"/>
                                      </a:rPr>
                                      <m:t>𝑃</m:t>
                                    </m:r>
                                  </m:sub>
                                </m:sSub>
                              </m:den>
                            </m:f>
                          </m:e>
                        </m:d>
                      </m:e>
                      <m:sup>
                        <m:r>
                          <a:rPr lang="en-US" sz="1600" b="0" i="1">
                            <a:solidFill>
                              <a:srgbClr val="0D95BC"/>
                            </a:solidFill>
                            <a:latin typeface="Cambria Math" panose="02040503050406030204" pitchFamily="18" charset="0"/>
                            <a:ea typeface="Cambria Math" panose="02040503050406030204" pitchFamily="18" charset="0"/>
                          </a:rPr>
                          <m:t>4</m:t>
                        </m:r>
                      </m:sup>
                    </m:sSup>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4" name="TextBox 153">
              <a:extLst>
                <a:ext uri="{FF2B5EF4-FFF2-40B4-BE49-F238E27FC236}">
                  <a16:creationId xmlns:a16="http://schemas.microsoft.com/office/drawing/2014/main" id="{29FF6AEC-6164-4CFD-9A18-266C1EA6697D}"/>
                </a:ext>
              </a:extLst>
            </xdr:cNvPr>
            <xdr:cNvSpPr txBox="1"/>
          </xdr:nvSpPr>
          <xdr:spPr>
            <a:xfrm>
              <a:off x="6136482" y="99421949"/>
              <a:ext cx="752476" cy="691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(𝐸/𝐸_𝑃 )^4</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8</xdr:col>
      <xdr:colOff>119063</xdr:colOff>
      <xdr:row>327</xdr:row>
      <xdr:rowOff>95248</xdr:rowOff>
    </xdr:from>
    <xdr:ext cx="1285875" cy="741760"/>
    <mc:AlternateContent xmlns:mc="http://schemas.openxmlformats.org/markup-compatibility/2006">
      <mc:Choice xmlns:a14="http://schemas.microsoft.com/office/drawing/2010/main" Requires="a14">
        <xdr:sp macro="" textlink="">
          <xdr:nvSpPr>
            <xdr:cNvPr id="155" name="TextBox 154">
              <a:extLst>
                <a:ext uri="{FF2B5EF4-FFF2-40B4-BE49-F238E27FC236}">
                  <a16:creationId xmlns:a16="http://schemas.microsoft.com/office/drawing/2014/main" id="{FF6ED734-3ACC-484F-A7FF-CCF797E039AD}"/>
                </a:ext>
              </a:extLst>
            </xdr:cNvPr>
            <xdr:cNvSpPr txBox="1"/>
          </xdr:nvSpPr>
          <xdr:spPr>
            <a:xfrm>
              <a:off x="12568238" y="96478723"/>
              <a:ext cx="1285875" cy="741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600" b="0" i="1">
                            <a:solidFill>
                              <a:srgbClr val="0D95BC"/>
                            </a:solidFill>
                            <a:latin typeface="Cambria Math" panose="02040503050406030204" pitchFamily="18" charset="0"/>
                            <a:ea typeface="Cambria Math" panose="02040503050406030204" pitchFamily="18" charset="0"/>
                          </a:rPr>
                        </m:ctrlPr>
                      </m:fPr>
                      <m:num>
                        <m:r>
                          <a:rPr lang="en-US" sz="1600" b="0" i="1">
                            <a:solidFill>
                              <a:srgbClr val="0D95BC"/>
                            </a:solidFill>
                            <a:latin typeface="Cambria Math" panose="02040503050406030204" pitchFamily="18" charset="0"/>
                            <a:ea typeface="Cambria Math" panose="02040503050406030204" pitchFamily="18" charset="0"/>
                          </a:rPr>
                          <m:t>𝐸</m:t>
                        </m:r>
                      </m:num>
                      <m:den>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𝐸</m:t>
                            </m:r>
                          </m:e>
                          <m:sub>
                            <m:r>
                              <a:rPr lang="en-US" sz="1600" b="0" i="1">
                                <a:solidFill>
                                  <a:srgbClr val="0D95BC"/>
                                </a:solidFill>
                                <a:latin typeface="Cambria Math" panose="02040503050406030204" pitchFamily="18" charset="0"/>
                                <a:ea typeface="Cambria Math" panose="02040503050406030204" pitchFamily="18" charset="0"/>
                              </a:rPr>
                              <m:t>𝑃</m:t>
                            </m:r>
                          </m:sub>
                        </m:sSub>
                      </m:den>
                    </m:f>
                    <m:r>
                      <a:rPr lang="en-US" sz="1600" b="0" i="1">
                        <a:solidFill>
                          <a:srgbClr val="0D95BC"/>
                        </a:solidFill>
                        <a:latin typeface="Cambria Math" panose="02040503050406030204" pitchFamily="18" charset="0"/>
                        <a:ea typeface="Cambria Math" panose="02040503050406030204" pitchFamily="18" charset="0"/>
                      </a:rPr>
                      <m:t>=</m:t>
                    </m:r>
                    <m:f>
                      <m:fPr>
                        <m:ctrlPr>
                          <a:rPr lang="en-US" sz="1600" b="0" i="1">
                            <a:solidFill>
                              <a:srgbClr val="0D95BC"/>
                            </a:solidFill>
                            <a:latin typeface="Cambria Math" panose="02040503050406030204" pitchFamily="18" charset="0"/>
                            <a:ea typeface="Cambria Math" panose="02040503050406030204" pitchFamily="18" charset="0"/>
                          </a:rPr>
                        </m:ctrlPr>
                      </m:fPr>
                      <m:num>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𝑡</m:t>
                            </m:r>
                          </m:e>
                          <m:sub>
                            <m:r>
                              <a:rPr lang="en-US" sz="1600" b="0" i="1">
                                <a:solidFill>
                                  <a:srgbClr val="0D95BC"/>
                                </a:solidFill>
                                <a:latin typeface="Cambria Math" panose="02040503050406030204" pitchFamily="18" charset="0"/>
                                <a:ea typeface="Cambria Math" panose="02040503050406030204" pitchFamily="18" charset="0"/>
                              </a:rPr>
                              <m:t>𝑃</m:t>
                            </m:r>
                          </m:sub>
                        </m:sSub>
                      </m:num>
                      <m:den>
                        <m:r>
                          <a:rPr lang="en-US" sz="1600" b="0" i="1">
                            <a:solidFill>
                              <a:srgbClr val="0D95BC"/>
                            </a:solidFill>
                            <a:latin typeface="Cambria Math" panose="02040503050406030204" pitchFamily="18" charset="0"/>
                            <a:ea typeface="Cambria Math" panose="02040503050406030204" pitchFamily="18" charset="0"/>
                          </a:rPr>
                          <m:t>𝜏</m:t>
                        </m:r>
                      </m:den>
                    </m:f>
                    <m:r>
                      <a:rPr lang="en-US" sz="1600" b="0" i="1">
                        <a:solidFill>
                          <a:srgbClr val="0D95BC"/>
                        </a:solidFill>
                        <a:latin typeface="Cambria Math" panose="02040503050406030204" pitchFamily="18" charset="0"/>
                        <a:ea typeface="Cambria Math" panose="02040503050406030204" pitchFamily="18" charset="0"/>
                      </a:rPr>
                      <m:t>=</m:t>
                    </m:r>
                    <m:f>
                      <m:fPr>
                        <m:ctrlPr>
                          <a:rPr lang="en-US" sz="1600" b="0" i="1">
                            <a:solidFill>
                              <a:srgbClr val="0D95BC"/>
                            </a:solidFill>
                            <a:latin typeface="Cambria Math" panose="02040503050406030204" pitchFamily="18" charset="0"/>
                            <a:ea typeface="Cambria Math" panose="02040503050406030204" pitchFamily="18" charset="0"/>
                          </a:rPr>
                        </m:ctrlPr>
                      </m:fPr>
                      <m:num>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𝑙</m:t>
                            </m:r>
                          </m:e>
                          <m:sub>
                            <m:r>
                              <a:rPr lang="en-US" sz="1600" b="0" i="1">
                                <a:solidFill>
                                  <a:srgbClr val="0D95BC"/>
                                </a:solidFill>
                                <a:latin typeface="Cambria Math" panose="02040503050406030204" pitchFamily="18" charset="0"/>
                                <a:ea typeface="Cambria Math" panose="02040503050406030204" pitchFamily="18" charset="0"/>
                              </a:rPr>
                              <m:t>𝑃</m:t>
                            </m:r>
                          </m:sub>
                        </m:sSub>
                      </m:num>
                      <m:den>
                        <m:r>
                          <a:rPr lang="en-US" sz="1600" b="0" i="1">
                            <a:solidFill>
                              <a:srgbClr val="0D95BC"/>
                            </a:solidFill>
                            <a:latin typeface="Cambria Math" panose="02040503050406030204" pitchFamily="18" charset="0"/>
                            <a:ea typeface="Cambria Math" panose="02040503050406030204" pitchFamily="18" charset="0"/>
                          </a:rPr>
                          <m:t>ƛ</m:t>
                        </m:r>
                      </m:den>
                    </m:f>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5" name="TextBox 154">
              <a:extLst>
                <a:ext uri="{FF2B5EF4-FFF2-40B4-BE49-F238E27FC236}">
                  <a16:creationId xmlns:a16="http://schemas.microsoft.com/office/drawing/2014/main" id="{FF6ED734-3ACC-484F-A7FF-CCF797E039AD}"/>
                </a:ext>
              </a:extLst>
            </xdr:cNvPr>
            <xdr:cNvSpPr txBox="1"/>
          </xdr:nvSpPr>
          <xdr:spPr>
            <a:xfrm>
              <a:off x="12568238" y="96478723"/>
              <a:ext cx="1285875" cy="741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𝐸/𝐸_𝑃 =𝑡_𝑃/𝜏=𝑙_𝑃/ƛ</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654844</xdr:colOff>
      <xdr:row>337</xdr:row>
      <xdr:rowOff>66079</xdr:rowOff>
    </xdr:from>
    <xdr:ext cx="500062" cy="654844"/>
    <mc:AlternateContent xmlns:mc="http://schemas.openxmlformats.org/markup-compatibility/2006">
      <mc:Choice xmlns:a14="http://schemas.microsoft.com/office/drawing/2010/main" Requires="a14">
        <xdr:sp macro="" textlink="">
          <xdr:nvSpPr>
            <xdr:cNvPr id="156" name="TextBox 155">
              <a:extLst>
                <a:ext uri="{FF2B5EF4-FFF2-40B4-BE49-F238E27FC236}">
                  <a16:creationId xmlns:a16="http://schemas.microsoft.com/office/drawing/2014/main" id="{52CE2DCD-C8CB-45BC-AA59-45CEF6056298}"/>
                </a:ext>
              </a:extLst>
            </xdr:cNvPr>
            <xdr:cNvSpPr txBox="1"/>
          </xdr:nvSpPr>
          <xdr:spPr>
            <a:xfrm>
              <a:off x="7960519" y="99440404"/>
              <a:ext cx="500062" cy="654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en-US" sz="1600" b="0" i="1">
                            <a:solidFill>
                              <a:srgbClr val="0D95BC"/>
                            </a:solidFill>
                            <a:latin typeface="Cambria Math" panose="02040503050406030204" pitchFamily="18" charset="0"/>
                            <a:ea typeface="Cambria Math" panose="02040503050406030204" pitchFamily="18" charset="0"/>
                          </a:rPr>
                        </m:ctrlPr>
                      </m:fPr>
                      <m:num>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𝐸</m:t>
                            </m:r>
                          </m:e>
                          <m:sub>
                            <m:r>
                              <a:rPr lang="en-US" sz="1600" b="0" i="1">
                                <a:solidFill>
                                  <a:srgbClr val="0D95BC"/>
                                </a:solidFill>
                                <a:latin typeface="Cambria Math" panose="02040503050406030204" pitchFamily="18" charset="0"/>
                                <a:ea typeface="Cambria Math" panose="02040503050406030204" pitchFamily="18" charset="0"/>
                              </a:rPr>
                              <m:t>𝑃</m:t>
                            </m:r>
                          </m:sub>
                        </m:sSub>
                      </m:num>
                      <m:den>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𝑡</m:t>
                            </m:r>
                          </m:e>
                          <m:sub>
                            <m:r>
                              <a:rPr lang="en-US" sz="1600" b="0" i="1">
                                <a:solidFill>
                                  <a:srgbClr val="0D95BC"/>
                                </a:solidFill>
                                <a:latin typeface="Cambria Math" panose="02040503050406030204" pitchFamily="18" charset="0"/>
                                <a:ea typeface="Cambria Math" panose="02040503050406030204" pitchFamily="18" charset="0"/>
                              </a:rPr>
                              <m:t>𝑃</m:t>
                            </m:r>
                          </m:sub>
                        </m:sSub>
                      </m:den>
                    </m:f>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6" name="TextBox 155">
              <a:extLst>
                <a:ext uri="{FF2B5EF4-FFF2-40B4-BE49-F238E27FC236}">
                  <a16:creationId xmlns:a16="http://schemas.microsoft.com/office/drawing/2014/main" id="{52CE2DCD-C8CB-45BC-AA59-45CEF6056298}"/>
                </a:ext>
              </a:extLst>
            </xdr:cNvPr>
            <xdr:cNvSpPr txBox="1"/>
          </xdr:nvSpPr>
          <xdr:spPr>
            <a:xfrm>
              <a:off x="7960519" y="99440404"/>
              <a:ext cx="500062" cy="654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𝐸_𝑃/𝑡_𝑃 </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7</xdr:col>
      <xdr:colOff>476251</xdr:colOff>
      <xdr:row>348</xdr:row>
      <xdr:rowOff>98855</xdr:rowOff>
    </xdr:from>
    <xdr:ext cx="940594" cy="685800"/>
    <mc:AlternateContent xmlns:mc="http://schemas.openxmlformats.org/markup-compatibility/2006">
      <mc:Choice xmlns:a14="http://schemas.microsoft.com/office/drawing/2010/main" Requires="a14">
        <xdr:sp macro="" textlink="">
          <xdr:nvSpPr>
            <xdr:cNvPr id="157" name="TextBox 156">
              <a:extLst>
                <a:ext uri="{FF2B5EF4-FFF2-40B4-BE49-F238E27FC236}">
                  <a16:creationId xmlns:a16="http://schemas.microsoft.com/office/drawing/2014/main" id="{21FBDE71-B381-472C-AFBB-CBBECC6FC447}"/>
                </a:ext>
              </a:extLst>
            </xdr:cNvPr>
            <xdr:cNvSpPr txBox="1"/>
          </xdr:nvSpPr>
          <xdr:spPr>
            <a:xfrm>
              <a:off x="11210926" y="103349855"/>
              <a:ext cx="940594"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sSup>
                      <m:sSupPr>
                        <m:ctrlPr>
                          <a:rPr lang="en-US" sz="1600" b="0" i="1">
                            <a:solidFill>
                              <a:srgbClr val="0D95BC"/>
                            </a:solidFill>
                            <a:latin typeface="Cambria Math" panose="02040503050406030204" pitchFamily="18" charset="0"/>
                            <a:ea typeface="Cambria Math" panose="02040503050406030204" pitchFamily="18" charset="0"/>
                          </a:rPr>
                        </m:ctrlPr>
                      </m:sSupPr>
                      <m:e>
                        <m:d>
                          <m:dPr>
                            <m:ctrlPr>
                              <a:rPr lang="en-US" sz="1600" b="0" i="1">
                                <a:solidFill>
                                  <a:srgbClr val="0D95BC"/>
                                </a:solidFill>
                                <a:latin typeface="Cambria Math" panose="02040503050406030204" pitchFamily="18" charset="0"/>
                                <a:ea typeface="Cambria Math" panose="02040503050406030204" pitchFamily="18" charset="0"/>
                              </a:rPr>
                            </m:ctrlPr>
                          </m:dPr>
                          <m:e>
                            <m:f>
                              <m:fPr>
                                <m:ctrlPr>
                                  <a:rPr lang="en-US" sz="1600" b="0" i="1">
                                    <a:solidFill>
                                      <a:srgbClr val="0D95BC"/>
                                    </a:solidFill>
                                    <a:latin typeface="Cambria Math" panose="02040503050406030204" pitchFamily="18" charset="0"/>
                                    <a:ea typeface="Cambria Math" panose="02040503050406030204" pitchFamily="18" charset="0"/>
                                  </a:rPr>
                                </m:ctrlPr>
                              </m:fPr>
                              <m:num>
                                <m:r>
                                  <a:rPr lang="en-US" sz="1600" b="0" i="1">
                                    <a:solidFill>
                                      <a:srgbClr val="0D95BC"/>
                                    </a:solidFill>
                                    <a:latin typeface="Cambria Math" panose="02040503050406030204" pitchFamily="18" charset="0"/>
                                    <a:ea typeface="Cambria Math" panose="02040503050406030204" pitchFamily="18" charset="0"/>
                                  </a:rPr>
                                  <m:t>𝐸</m:t>
                                </m:r>
                              </m:num>
                              <m:den>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𝐸</m:t>
                                    </m:r>
                                  </m:e>
                                  <m:sub>
                                    <m:r>
                                      <a:rPr lang="en-US" sz="1600" b="0" i="1">
                                        <a:solidFill>
                                          <a:srgbClr val="0D95BC"/>
                                        </a:solidFill>
                                        <a:latin typeface="Cambria Math" panose="02040503050406030204" pitchFamily="18" charset="0"/>
                                        <a:ea typeface="Cambria Math" panose="02040503050406030204" pitchFamily="18" charset="0"/>
                                      </a:rPr>
                                      <m:t>𝑃</m:t>
                                    </m:r>
                                  </m:sub>
                                </m:sSub>
                              </m:den>
                            </m:f>
                          </m:e>
                        </m:d>
                      </m:e>
                      <m:sup>
                        <m:r>
                          <a:rPr lang="en-US" sz="1600" b="0" i="1">
                            <a:solidFill>
                              <a:srgbClr val="0D95BC"/>
                            </a:solidFill>
                            <a:latin typeface="Cambria Math" panose="02040503050406030204" pitchFamily="18" charset="0"/>
                            <a:ea typeface="Cambria Math" panose="02040503050406030204" pitchFamily="18" charset="0"/>
                          </a:rPr>
                          <m:t>4</m:t>
                        </m:r>
                      </m:sup>
                    </m:sSup>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7" name="TextBox 156">
              <a:extLst>
                <a:ext uri="{FF2B5EF4-FFF2-40B4-BE49-F238E27FC236}">
                  <a16:creationId xmlns:a16="http://schemas.microsoft.com/office/drawing/2014/main" id="{21FBDE71-B381-472C-AFBB-CBBECC6FC447}"/>
                </a:ext>
              </a:extLst>
            </xdr:cNvPr>
            <xdr:cNvSpPr txBox="1"/>
          </xdr:nvSpPr>
          <xdr:spPr>
            <a:xfrm>
              <a:off x="11210926" y="103349855"/>
              <a:ext cx="940594"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(𝐸/𝐸_𝑃 )^4</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6</xdr:col>
      <xdr:colOff>95251</xdr:colOff>
      <xdr:row>348</xdr:row>
      <xdr:rowOff>98855</xdr:rowOff>
    </xdr:from>
    <xdr:ext cx="1500186" cy="685800"/>
    <mc:AlternateContent xmlns:mc="http://schemas.openxmlformats.org/markup-compatibility/2006">
      <mc:Choice xmlns:a14="http://schemas.microsoft.com/office/drawing/2010/main" Requires="a14">
        <xdr:sp macro="" textlink="">
          <xdr:nvSpPr>
            <xdr:cNvPr id="158" name="TextBox 157">
              <a:extLst>
                <a:ext uri="{FF2B5EF4-FFF2-40B4-BE49-F238E27FC236}">
                  <a16:creationId xmlns:a16="http://schemas.microsoft.com/office/drawing/2014/main" id="{595FA169-4C33-4471-8ED7-3B0CAE23A56B}"/>
                </a:ext>
              </a:extLst>
            </xdr:cNvPr>
            <xdr:cNvSpPr txBox="1"/>
          </xdr:nvSpPr>
          <xdr:spPr>
            <a:xfrm>
              <a:off x="9115426" y="103349855"/>
              <a:ext cx="1500186"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600" b="0" i="1">
                        <a:solidFill>
                          <a:srgbClr val="0D95BC"/>
                        </a:solidFill>
                        <a:latin typeface="Cambria Math" panose="02040503050406030204" pitchFamily="18" charset="0"/>
                        <a:ea typeface="Cambria Math" panose="02040503050406030204" pitchFamily="18" charset="0"/>
                      </a:rPr>
                      <m:t> </m:t>
                    </m:r>
                    <m:f>
                      <m:fPr>
                        <m:ctrlPr>
                          <a:rPr lang="en-US" sz="1600" b="0" i="1">
                            <a:solidFill>
                              <a:srgbClr val="0D95BC"/>
                            </a:solidFill>
                            <a:latin typeface="Cambria Math" panose="02040503050406030204" pitchFamily="18" charset="0"/>
                            <a:ea typeface="Cambria Math" panose="02040503050406030204" pitchFamily="18" charset="0"/>
                          </a:rPr>
                        </m:ctrlPr>
                      </m:fPr>
                      <m:num>
                        <m:f>
                          <m:fPr>
                            <m:type m:val="skw"/>
                            <m:ctrlPr>
                              <a:rPr lang="en-US" sz="1600" b="0" i="1">
                                <a:solidFill>
                                  <a:srgbClr val="0D95BC"/>
                                </a:solidFill>
                                <a:latin typeface="Cambria Math" panose="02040503050406030204" pitchFamily="18" charset="0"/>
                                <a:ea typeface="Cambria Math" panose="02040503050406030204" pitchFamily="18" charset="0"/>
                              </a:rPr>
                            </m:ctrlPr>
                          </m:fPr>
                          <m:num>
                            <m:r>
                              <a:rPr lang="en-US" sz="1600" b="0" i="1">
                                <a:solidFill>
                                  <a:srgbClr val="0D95BC"/>
                                </a:solidFill>
                                <a:latin typeface="Cambria Math" panose="02040503050406030204" pitchFamily="18" charset="0"/>
                                <a:ea typeface="Cambria Math" panose="02040503050406030204" pitchFamily="18" charset="0"/>
                              </a:rPr>
                              <m:t>𝐸</m:t>
                            </m:r>
                          </m:num>
                          <m:den>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𝐸</m:t>
                                </m:r>
                              </m:e>
                              <m:sub>
                                <m:r>
                                  <a:rPr lang="en-US" sz="1600" b="0" i="1">
                                    <a:solidFill>
                                      <a:srgbClr val="0D95BC"/>
                                    </a:solidFill>
                                    <a:latin typeface="Cambria Math" panose="02040503050406030204" pitchFamily="18" charset="0"/>
                                    <a:ea typeface="Cambria Math" panose="02040503050406030204" pitchFamily="18" charset="0"/>
                                  </a:rPr>
                                  <m:t>𝑃</m:t>
                                </m:r>
                              </m:sub>
                            </m:sSub>
                          </m:den>
                        </m:f>
                      </m:num>
                      <m:den>
                        <m:f>
                          <m:fPr>
                            <m:type m:val="skw"/>
                            <m:ctrlPr>
                              <a:rPr lang="en-US" sz="1600" b="0" i="1">
                                <a:solidFill>
                                  <a:srgbClr val="0D95BC"/>
                                </a:solidFill>
                                <a:latin typeface="Cambria Math" panose="02040503050406030204" pitchFamily="18" charset="0"/>
                                <a:ea typeface="Cambria Math" panose="02040503050406030204" pitchFamily="18" charset="0"/>
                              </a:rPr>
                            </m:ctrlPr>
                          </m:fPr>
                          <m:num>
                            <m:r>
                              <a:rPr lang="en-US" sz="1600" b="0" i="1">
                                <a:solidFill>
                                  <a:srgbClr val="0D95BC"/>
                                </a:solidFill>
                                <a:latin typeface="Cambria Math" panose="02040503050406030204" pitchFamily="18" charset="0"/>
                                <a:ea typeface="Cambria Math" panose="02040503050406030204" pitchFamily="18" charset="0"/>
                              </a:rPr>
                              <m:t>𝜏</m:t>
                            </m:r>
                          </m:num>
                          <m:den>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𝑡</m:t>
                                </m:r>
                              </m:e>
                              <m:sub>
                                <m:r>
                                  <a:rPr lang="en-US" sz="1600" b="0" i="1">
                                    <a:solidFill>
                                      <a:srgbClr val="0D95BC"/>
                                    </a:solidFill>
                                    <a:latin typeface="Cambria Math" panose="02040503050406030204" pitchFamily="18" charset="0"/>
                                    <a:ea typeface="Cambria Math" panose="02040503050406030204" pitchFamily="18" charset="0"/>
                                  </a:rPr>
                                  <m:t>𝑃</m:t>
                                </m:r>
                              </m:sub>
                            </m:sSub>
                          </m:den>
                        </m:f>
                      </m:den>
                    </m:f>
                    <m:r>
                      <a:rPr lang="en-US" sz="1600" b="0" i="1">
                        <a:solidFill>
                          <a:srgbClr val="0D95BC"/>
                        </a:solidFill>
                        <a:latin typeface="Cambria Math" panose="02040503050406030204" pitchFamily="18" charset="0"/>
                        <a:ea typeface="Cambria Math" panose="02040503050406030204" pitchFamily="18" charset="0"/>
                      </a:rPr>
                      <m:t>=</m:t>
                    </m:r>
                    <m:sSup>
                      <m:sSupPr>
                        <m:ctrlPr>
                          <a:rPr lang="en-US" sz="1600" b="0" i="1">
                            <a:solidFill>
                              <a:srgbClr val="0D95BC"/>
                            </a:solidFill>
                            <a:latin typeface="Cambria Math" panose="02040503050406030204" pitchFamily="18" charset="0"/>
                            <a:ea typeface="Cambria Math" panose="02040503050406030204" pitchFamily="18" charset="0"/>
                          </a:rPr>
                        </m:ctrlPr>
                      </m:sSupPr>
                      <m:e>
                        <m:d>
                          <m:dPr>
                            <m:ctrlPr>
                              <a:rPr lang="en-US" sz="1600" b="0" i="1">
                                <a:solidFill>
                                  <a:srgbClr val="0D95BC"/>
                                </a:solidFill>
                                <a:latin typeface="Cambria Math" panose="02040503050406030204" pitchFamily="18" charset="0"/>
                                <a:ea typeface="Cambria Math" panose="02040503050406030204" pitchFamily="18" charset="0"/>
                              </a:rPr>
                            </m:ctrlPr>
                          </m:dPr>
                          <m:e>
                            <m:f>
                              <m:fPr>
                                <m:ctrlPr>
                                  <a:rPr lang="en-US" sz="1600" b="0" i="1">
                                    <a:solidFill>
                                      <a:srgbClr val="0D95BC"/>
                                    </a:solidFill>
                                    <a:latin typeface="Cambria Math" panose="02040503050406030204" pitchFamily="18" charset="0"/>
                                    <a:ea typeface="Cambria Math" panose="02040503050406030204" pitchFamily="18" charset="0"/>
                                  </a:rPr>
                                </m:ctrlPr>
                              </m:fPr>
                              <m:num>
                                <m:r>
                                  <a:rPr lang="en-US" sz="1600" b="0" i="1">
                                    <a:solidFill>
                                      <a:srgbClr val="0D95BC"/>
                                    </a:solidFill>
                                    <a:latin typeface="Cambria Math" panose="02040503050406030204" pitchFamily="18" charset="0"/>
                                    <a:ea typeface="Cambria Math" panose="02040503050406030204" pitchFamily="18" charset="0"/>
                                  </a:rPr>
                                  <m:t>𝐸</m:t>
                                </m:r>
                              </m:num>
                              <m:den>
                                <m:sSub>
                                  <m:sSubPr>
                                    <m:ctrlPr>
                                      <a:rPr lang="en-US" sz="1600" b="0" i="1">
                                        <a:solidFill>
                                          <a:srgbClr val="0D95BC"/>
                                        </a:solidFill>
                                        <a:latin typeface="Cambria Math" panose="02040503050406030204" pitchFamily="18" charset="0"/>
                                        <a:ea typeface="Cambria Math" panose="02040503050406030204" pitchFamily="18" charset="0"/>
                                      </a:rPr>
                                    </m:ctrlPr>
                                  </m:sSubPr>
                                  <m:e>
                                    <m:r>
                                      <a:rPr lang="en-US" sz="1600" b="0" i="1">
                                        <a:solidFill>
                                          <a:srgbClr val="0D95BC"/>
                                        </a:solidFill>
                                        <a:latin typeface="Cambria Math" panose="02040503050406030204" pitchFamily="18" charset="0"/>
                                        <a:ea typeface="Cambria Math" panose="02040503050406030204" pitchFamily="18" charset="0"/>
                                      </a:rPr>
                                      <m:t>𝐸</m:t>
                                    </m:r>
                                  </m:e>
                                  <m:sub>
                                    <m:r>
                                      <a:rPr lang="en-US" sz="1600" b="0" i="1">
                                        <a:solidFill>
                                          <a:srgbClr val="0D95BC"/>
                                        </a:solidFill>
                                        <a:latin typeface="Cambria Math" panose="02040503050406030204" pitchFamily="18" charset="0"/>
                                        <a:ea typeface="Cambria Math" panose="02040503050406030204" pitchFamily="18" charset="0"/>
                                      </a:rPr>
                                      <m:t>𝑃</m:t>
                                    </m:r>
                                  </m:sub>
                                </m:sSub>
                              </m:den>
                            </m:f>
                          </m:e>
                        </m:d>
                      </m:e>
                      <m:sup>
                        <m:r>
                          <a:rPr lang="en-US" sz="1600" b="0" i="1">
                            <a:solidFill>
                              <a:srgbClr val="0D95BC"/>
                            </a:solidFill>
                            <a:latin typeface="Cambria Math" panose="02040503050406030204" pitchFamily="18" charset="0"/>
                            <a:ea typeface="Cambria Math" panose="02040503050406030204" pitchFamily="18" charset="0"/>
                          </a:rPr>
                          <m:t>2</m:t>
                        </m:r>
                      </m:sup>
                    </m:sSup>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8" name="TextBox 157">
              <a:extLst>
                <a:ext uri="{FF2B5EF4-FFF2-40B4-BE49-F238E27FC236}">
                  <a16:creationId xmlns:a16="http://schemas.microsoft.com/office/drawing/2014/main" id="{595FA169-4C33-4471-8ED7-3B0CAE23A56B}"/>
                </a:ext>
              </a:extLst>
            </xdr:cNvPr>
            <xdr:cNvSpPr txBox="1"/>
          </xdr:nvSpPr>
          <xdr:spPr>
            <a:xfrm>
              <a:off x="9115426" y="103349855"/>
              <a:ext cx="1500186"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  (𝐸⁄𝐸_𝑃 )/(𝜏⁄𝑡_𝑃 )=(𝐸/𝐸_𝑃 )^2</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9</xdr:col>
      <xdr:colOff>628651</xdr:colOff>
      <xdr:row>348</xdr:row>
      <xdr:rowOff>167911</xdr:rowOff>
    </xdr:from>
    <xdr:ext cx="442912" cy="547688"/>
    <mc:AlternateContent xmlns:mc="http://schemas.openxmlformats.org/markup-compatibility/2006">
      <mc:Choice xmlns:a14="http://schemas.microsoft.com/office/drawing/2010/main" Requires="a14">
        <xdr:sp macro="" textlink="">
          <xdr:nvSpPr>
            <xdr:cNvPr id="159" name="TextBox 158">
              <a:extLst>
                <a:ext uri="{FF2B5EF4-FFF2-40B4-BE49-F238E27FC236}">
                  <a16:creationId xmlns:a16="http://schemas.microsoft.com/office/drawing/2014/main" id="{9692E564-DC07-48A5-AF2F-AE2CED760AA8}"/>
                </a:ext>
              </a:extLst>
            </xdr:cNvPr>
            <xdr:cNvSpPr txBox="1"/>
          </xdr:nvSpPr>
          <xdr:spPr>
            <a:xfrm>
              <a:off x="14792326" y="103418911"/>
              <a:ext cx="442912"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600" b="0" i="1">
                        <a:solidFill>
                          <a:srgbClr val="0D95BC"/>
                        </a:solidFill>
                        <a:latin typeface="Cambria Math" panose="02040503050406030204" pitchFamily="18" charset="0"/>
                        <a:ea typeface="Cambria Math" panose="02040503050406030204" pitchFamily="18" charset="0"/>
                      </a:rPr>
                      <m:t>𝑃</m:t>
                    </m:r>
                  </m:oMath>
                </m:oMathPara>
              </a14:m>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Choice>
      <mc:Fallback>
        <xdr:sp macro="" textlink="">
          <xdr:nvSpPr>
            <xdr:cNvPr id="159" name="TextBox 158">
              <a:extLst>
                <a:ext uri="{FF2B5EF4-FFF2-40B4-BE49-F238E27FC236}">
                  <a16:creationId xmlns:a16="http://schemas.microsoft.com/office/drawing/2014/main" id="{9692E564-DC07-48A5-AF2F-AE2CED760AA8}"/>
                </a:ext>
              </a:extLst>
            </xdr:cNvPr>
            <xdr:cNvSpPr txBox="1"/>
          </xdr:nvSpPr>
          <xdr:spPr>
            <a:xfrm>
              <a:off x="14792326" y="103418911"/>
              <a:ext cx="442912"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600" b="0" i="0">
                  <a:solidFill>
                    <a:srgbClr val="0D95BC"/>
                  </a:solidFill>
                  <a:latin typeface="Cambria Math" panose="02040503050406030204" pitchFamily="18" charset="0"/>
                  <a:ea typeface="Cambria Math" panose="02040503050406030204" pitchFamily="18" charset="0"/>
                </a:rPr>
                <a:t>𝑃</a:t>
              </a:r>
              <a:endParaRPr lang="en-US" sz="1600">
                <a:solidFill>
                  <a:schemeClr val="tx1">
                    <a:lumMod val="75000"/>
                    <a:lumOff val="25000"/>
                  </a:schemeClr>
                </a:solidFill>
                <a:latin typeface="Cambria Math" panose="02040503050406030204" pitchFamily="18" charset="0"/>
                <a:ea typeface="Cambria Math" panose="02040503050406030204" pitchFamily="18" charset="0"/>
              </a:endParaRPr>
            </a:p>
          </xdr:txBody>
        </xdr:sp>
      </mc:Fallback>
    </mc:AlternateContent>
    <xdr:clientData/>
  </xdr:oneCellAnchor>
  <xdr:twoCellAnchor editAs="oneCell">
    <xdr:from>
      <xdr:col>7</xdr:col>
      <xdr:colOff>164832</xdr:colOff>
      <xdr:row>15</xdr:row>
      <xdr:rowOff>83343</xdr:rowOff>
    </xdr:from>
    <xdr:to>
      <xdr:col>11</xdr:col>
      <xdr:colOff>964415</xdr:colOff>
      <xdr:row>29</xdr:row>
      <xdr:rowOff>238125</xdr:rowOff>
    </xdr:to>
    <xdr:pic>
      <xdr:nvPicPr>
        <xdr:cNvPr id="160" name="Picture 159">
          <a:extLst>
            <a:ext uri="{FF2B5EF4-FFF2-40B4-BE49-F238E27FC236}">
              <a16:creationId xmlns:a16="http://schemas.microsoft.com/office/drawing/2014/main" id="{F83724FE-904F-44D5-91E1-664AB1EB58A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99507" y="3798093"/>
          <a:ext cx="7657583" cy="3621882"/>
        </a:xfrm>
        <a:prstGeom prst="rect">
          <a:avLst/>
        </a:prstGeom>
        <a:solidFill>
          <a:schemeClr val="bg1"/>
        </a:solidFill>
        <a:ln>
          <a:solidFill>
            <a:schemeClr val="bg1">
              <a:lumMod val="75000"/>
            </a:schemeClr>
          </a:solidFill>
        </a:ln>
        <a:effectLst>
          <a:outerShdw blurRad="76200" dist="63500" dir="2700000" algn="tl" rotWithShape="0">
            <a:schemeClr val="bg1">
              <a:lumMod val="50000"/>
              <a:alpha val="40000"/>
            </a:schemeClr>
          </a:outerShdw>
        </a:effectLst>
      </xdr:spPr>
    </xdr:pic>
    <xdr:clientData/>
  </xdr:twoCellAnchor>
  <xdr:twoCellAnchor editAs="oneCell">
    <xdr:from>
      <xdr:col>7</xdr:col>
      <xdr:colOff>150000</xdr:colOff>
      <xdr:row>33</xdr:row>
      <xdr:rowOff>78563</xdr:rowOff>
    </xdr:from>
    <xdr:to>
      <xdr:col>12</xdr:col>
      <xdr:colOff>703059</xdr:colOff>
      <xdr:row>52</xdr:row>
      <xdr:rowOff>166688</xdr:rowOff>
    </xdr:to>
    <xdr:pic>
      <xdr:nvPicPr>
        <xdr:cNvPr id="161" name="Picture 160">
          <a:extLst>
            <a:ext uri="{FF2B5EF4-FFF2-40B4-BE49-F238E27FC236}">
              <a16:creationId xmlns:a16="http://schemas.microsoft.com/office/drawing/2014/main" id="{83B3C766-83CC-48A0-9CA2-48805610E0A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884675" y="8251013"/>
          <a:ext cx="9125559" cy="4793475"/>
        </a:xfrm>
        <a:prstGeom prst="rect">
          <a:avLst/>
        </a:prstGeom>
        <a:solidFill>
          <a:schemeClr val="bg1"/>
        </a:solidFill>
        <a:ln>
          <a:solidFill>
            <a:schemeClr val="bg1">
              <a:lumMod val="75000"/>
            </a:schemeClr>
          </a:solidFill>
        </a:ln>
        <a:effectLst>
          <a:outerShdw blurRad="76200" dist="63500" dir="2700000" algn="tl" rotWithShape="0">
            <a:schemeClr val="bg1">
              <a:lumMod val="50000"/>
              <a:alpha val="40000"/>
            </a:scheme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anda.org/articles/aa/full_html/2018/08/aa32159-17/aa32159-17.html" TargetMode="External"/><Relationship Id="rId7" Type="http://schemas.openxmlformats.org/officeDocument/2006/relationships/printerSettings" Target="../printerSettings/printerSettings1.bin"/><Relationship Id="rId2" Type="http://schemas.openxmlformats.org/officeDocument/2006/relationships/hyperlink" Target="https://iopscience.iop.org/article/10.1086/305489" TargetMode="External"/><Relationship Id="rId1" Type="http://schemas.openxmlformats.org/officeDocument/2006/relationships/hyperlink" Target="https://iopscience.iop.org/article/10.1088/0004-637X/719/2/1807" TargetMode="External"/><Relationship Id="rId6" Type="http://schemas.openxmlformats.org/officeDocument/2006/relationships/hyperlink" Target="https://academic.oup.com/mnras/article/437/3/2554/1028565" TargetMode="External"/><Relationship Id="rId5" Type="http://schemas.openxmlformats.org/officeDocument/2006/relationships/hyperlink" Target="https://www.aanda.org/articles/aa/full_html/2019/05/aa35656-19/aa35656-19.html" TargetMode="External"/><Relationship Id="rId4" Type="http://schemas.openxmlformats.org/officeDocument/2006/relationships/hyperlink" Target="https://iau-a3.gitlab.io/NSFA/NSFA_cb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B32D-05DE-42B5-A9CD-D61ABDF4760B}">
  <dimension ref="A1:W417"/>
  <sheetViews>
    <sheetView tabSelected="1" zoomScale="80" zoomScaleNormal="80" workbookViewId="0"/>
  </sheetViews>
  <sheetFormatPr defaultRowHeight="15" x14ac:dyDescent="0.25"/>
  <cols>
    <col min="1" max="1" width="6.7109375" customWidth="1"/>
    <col min="2" max="23" width="25.7109375" customWidth="1"/>
    <col min="24" max="27" width="20.7109375" customWidth="1"/>
  </cols>
  <sheetData>
    <row r="1" spans="2:11" s="1" customFormat="1" ht="20.100000000000001" customHeight="1" x14ac:dyDescent="0.25"/>
    <row r="2" spans="2:11" s="1" customFormat="1" ht="20.100000000000001" customHeight="1" x14ac:dyDescent="0.25">
      <c r="B2" s="2" t="s">
        <v>0</v>
      </c>
      <c r="C2" s="3">
        <v>1.6162550000000001E-35</v>
      </c>
      <c r="E2" s="2" t="s">
        <v>1</v>
      </c>
      <c r="F2" s="4">
        <v>3.8615926795999998E-13</v>
      </c>
      <c r="H2" s="2" t="s">
        <v>2</v>
      </c>
      <c r="I2" s="5">
        <v>7.2973525693000004E-3</v>
      </c>
      <c r="K2" s="6"/>
    </row>
    <row r="3" spans="2:11" s="1" customFormat="1" ht="20.100000000000001" customHeight="1" x14ac:dyDescent="0.25">
      <c r="B3" s="2" t="s">
        <v>3</v>
      </c>
      <c r="C3" s="3">
        <v>2.1764340000000001E-8</v>
      </c>
      <c r="E3" s="7" t="s">
        <v>4</v>
      </c>
      <c r="F3" s="4">
        <v>9.1093837015000008E-31</v>
      </c>
      <c r="H3" s="2" t="s">
        <v>5</v>
      </c>
      <c r="I3" s="8">
        <v>1.6021766339999999E-19</v>
      </c>
      <c r="K3" s="6"/>
    </row>
    <row r="4" spans="2:11" s="1" customFormat="1" ht="20.100000000000001" customHeight="1" x14ac:dyDescent="0.25">
      <c r="B4" s="2" t="s">
        <v>6</v>
      </c>
      <c r="C4" s="3">
        <v>5.3912470000000002E-44</v>
      </c>
      <c r="E4" s="7" t="s">
        <v>7</v>
      </c>
      <c r="F4" s="8">
        <v>1.867594306E-15</v>
      </c>
      <c r="H4" s="2" t="s">
        <v>8</v>
      </c>
      <c r="I4" s="9">
        <v>1.2566370621199999E-6</v>
      </c>
      <c r="K4" s="6"/>
    </row>
    <row r="5" spans="2:11" s="1" customFormat="1" ht="20.100000000000001" customHeight="1" x14ac:dyDescent="0.25">
      <c r="B5" s="2" t="s">
        <v>9</v>
      </c>
      <c r="C5" s="4">
        <f>SQRT(4*PI()*I5*C10*C8)</f>
        <v>1.8755460377797105E-18</v>
      </c>
      <c r="E5" s="7" t="s">
        <v>10</v>
      </c>
      <c r="F5" s="8">
        <v>1.8835316270000001E-28</v>
      </c>
      <c r="H5" s="2" t="s">
        <v>11</v>
      </c>
      <c r="I5" s="4">
        <f>1/(I4*C8^2)</f>
        <v>8.8541878128003851E-12</v>
      </c>
    </row>
    <row r="6" spans="2:11" s="1" customFormat="1" ht="20.100000000000001" customHeight="1" x14ac:dyDescent="0.25">
      <c r="B6" s="2" t="s">
        <v>12</v>
      </c>
      <c r="C6" s="3">
        <v>1956081328.6788869</v>
      </c>
      <c r="E6" s="7" t="s">
        <v>13</v>
      </c>
      <c r="F6" s="3">
        <v>1.1105380000000001E-16</v>
      </c>
      <c r="H6" s="2" t="s">
        <v>14</v>
      </c>
      <c r="I6" s="4">
        <f>1/(4*PI()*I5)</f>
        <v>8987551792.2607803</v>
      </c>
    </row>
    <row r="7" spans="2:11" s="1" customFormat="1" ht="20.100000000000001" customHeight="1" x14ac:dyDescent="0.25">
      <c r="B7" s="2" t="s">
        <v>15</v>
      </c>
      <c r="C7" s="3">
        <f>(C2*C3)/C4^2</f>
        <v>1.2102551077827499E+44</v>
      </c>
      <c r="D7" s="10"/>
      <c r="E7" s="7" t="s">
        <v>16</v>
      </c>
      <c r="F7" s="11">
        <v>3.1675399999999999E-27</v>
      </c>
      <c r="H7" s="2" t="s">
        <v>17</v>
      </c>
      <c r="I7" s="12">
        <v>9192631770</v>
      </c>
    </row>
    <row r="8" spans="2:11" s="1" customFormat="1" ht="20.100000000000001" customHeight="1" x14ac:dyDescent="0.25">
      <c r="B8" s="2" t="s">
        <v>18</v>
      </c>
      <c r="C8" s="12">
        <v>299792458</v>
      </c>
      <c r="E8" s="7" t="s">
        <v>19</v>
      </c>
      <c r="F8" s="13">
        <v>1.98847E+30</v>
      </c>
      <c r="H8" s="2" t="s">
        <v>20</v>
      </c>
      <c r="I8" s="9">
        <v>5.2917721090299998E-11</v>
      </c>
    </row>
    <row r="9" spans="2:11" s="1" customFormat="1" ht="20.100000000000001" customHeight="1" x14ac:dyDescent="0.25">
      <c r="B9" s="2" t="s">
        <v>21</v>
      </c>
      <c r="C9" s="14">
        <v>6.6260701499999998E-34</v>
      </c>
      <c r="E9" s="7" t="s">
        <v>22</v>
      </c>
      <c r="F9" s="13">
        <v>696156000</v>
      </c>
      <c r="H9" s="2" t="s">
        <v>23</v>
      </c>
      <c r="I9" s="15">
        <v>10973731.568159999</v>
      </c>
    </row>
    <row r="10" spans="2:11" s="1" customFormat="1" ht="20.100000000000001" customHeight="1" x14ac:dyDescent="0.25">
      <c r="B10" s="2" t="s">
        <v>24</v>
      </c>
      <c r="C10" s="16">
        <f>C9/(2*PI())</f>
        <v>1.0545718176461565E-34</v>
      </c>
      <c r="E10" s="17"/>
      <c r="F10" s="3"/>
      <c r="H10" s="2" t="s">
        <v>25</v>
      </c>
      <c r="I10" s="8">
        <f>0.00000005670374419</f>
        <v>5.6703744189999999E-8</v>
      </c>
    </row>
    <row r="11" spans="2:11" s="1" customFormat="1" ht="20.100000000000001" customHeight="1" x14ac:dyDescent="0.25">
      <c r="B11" s="2" t="s">
        <v>26</v>
      </c>
      <c r="C11" s="11">
        <v>6.6742999999999994E-11</v>
      </c>
      <c r="E11" s="17"/>
      <c r="F11" s="3"/>
      <c r="H11" s="2" t="s">
        <v>27</v>
      </c>
      <c r="I11" s="3">
        <v>1.3806490000000001E-23</v>
      </c>
    </row>
    <row r="12" spans="2:11" s="1" customFormat="1" ht="20.100000000000001" customHeight="1" x14ac:dyDescent="0.25"/>
    <row r="13" spans="2:11" s="1" customFormat="1" ht="20.100000000000001" customHeight="1" x14ac:dyDescent="0.25">
      <c r="B13" s="18"/>
      <c r="C13" s="19"/>
      <c r="D13" s="20"/>
      <c r="E13" s="18"/>
      <c r="F13" s="19"/>
      <c r="G13" s="20"/>
      <c r="H13" s="18"/>
      <c r="I13" s="19"/>
    </row>
    <row r="14" spans="2:11" s="1" customFormat="1" ht="20.100000000000001" customHeight="1" x14ac:dyDescent="0.25">
      <c r="B14" s="21" t="s">
        <v>28</v>
      </c>
      <c r="C14" s="22"/>
      <c r="D14" s="3"/>
      <c r="F14" s="22"/>
      <c r="G14" s="3"/>
      <c r="I14" s="22"/>
    </row>
    <row r="15" spans="2:11" s="1" customFormat="1" ht="20.100000000000001" customHeight="1" x14ac:dyDescent="0.25">
      <c r="C15" s="22"/>
      <c r="D15" s="3"/>
      <c r="F15" s="22"/>
      <c r="G15" s="3"/>
      <c r="I15" s="22"/>
    </row>
    <row r="16" spans="2:11" s="1" customFormat="1" ht="20.100000000000001" customHeight="1" x14ac:dyDescent="0.25">
      <c r="B16" s="23" t="s">
        <v>29</v>
      </c>
      <c r="C16" s="12">
        <f>C8</f>
        <v>299792458</v>
      </c>
      <c r="D16" s="24">
        <v>1</v>
      </c>
      <c r="G16" s="25"/>
    </row>
    <row r="17" spans="2:15" s="1" customFormat="1" ht="20.100000000000001" customHeight="1" x14ac:dyDescent="0.25">
      <c r="B17" s="23" t="s">
        <v>30</v>
      </c>
      <c r="C17" s="3">
        <f>C2/C4</f>
        <v>299792422.79198116</v>
      </c>
      <c r="D17" s="24">
        <f>C16/C17</f>
        <v>1.0000001174413233</v>
      </c>
      <c r="F17" s="6"/>
      <c r="G17" s="26"/>
      <c r="H17" s="27"/>
      <c r="I17" s="27"/>
      <c r="J17" s="6"/>
      <c r="K17" s="6"/>
      <c r="L17" s="6"/>
      <c r="M17" s="6"/>
      <c r="N17" s="6"/>
      <c r="O17" s="6"/>
    </row>
    <row r="18" spans="2:15" s="1" customFormat="1" ht="20.100000000000001" customHeight="1" x14ac:dyDescent="0.25">
      <c r="B18" s="7"/>
      <c r="C18" s="28"/>
      <c r="D18" s="24"/>
      <c r="F18" s="6"/>
      <c r="G18" s="28"/>
      <c r="H18" s="27"/>
      <c r="I18" s="27"/>
      <c r="J18" s="6"/>
      <c r="K18" s="6"/>
      <c r="L18" s="6"/>
      <c r="M18" s="6"/>
      <c r="N18" s="6"/>
      <c r="O18" s="6"/>
    </row>
    <row r="19" spans="2:15" s="1" customFormat="1" ht="20.100000000000001" customHeight="1" x14ac:dyDescent="0.25">
      <c r="B19" s="17" t="s">
        <v>31</v>
      </c>
      <c r="C19" s="16">
        <f>C10</f>
        <v>1.0545718176461565E-34</v>
      </c>
      <c r="D19" s="24">
        <v>1</v>
      </c>
      <c r="F19" s="6"/>
      <c r="G19" s="29"/>
      <c r="H19" s="27"/>
      <c r="I19" s="27"/>
      <c r="J19" s="6"/>
      <c r="N19" s="6"/>
      <c r="O19" s="6"/>
    </row>
    <row r="20" spans="2:15" s="1" customFormat="1" ht="20.100000000000001" customHeight="1" x14ac:dyDescent="0.25">
      <c r="B20" s="23" t="s">
        <v>32</v>
      </c>
      <c r="C20" s="3">
        <f>C2*C3*C8</f>
        <v>1.0545716356493179E-34</v>
      </c>
      <c r="D20" s="24">
        <f>C20/C19</f>
        <v>0.99999982742110538</v>
      </c>
      <c r="F20" s="6"/>
      <c r="G20" s="26"/>
      <c r="H20" s="27"/>
      <c r="I20" s="27"/>
      <c r="J20" s="6"/>
      <c r="N20" s="6"/>
      <c r="O20" s="6"/>
    </row>
    <row r="21" spans="2:15" s="1" customFormat="1" ht="20.100000000000001" customHeight="1" x14ac:dyDescent="0.25">
      <c r="B21" s="30" t="s">
        <v>33</v>
      </c>
      <c r="C21" s="3">
        <f>(C2^2*C3)/C4</f>
        <v>1.0545715117990442E-34</v>
      </c>
      <c r="D21" s="24">
        <f>C21/C19</f>
        <v>0.99999970997981635</v>
      </c>
      <c r="F21" s="6"/>
      <c r="G21" s="26"/>
      <c r="I21" s="27"/>
      <c r="J21" s="6"/>
      <c r="N21" s="6"/>
      <c r="O21" s="6"/>
    </row>
    <row r="22" spans="2:15" s="1" customFormat="1" ht="20.100000000000001" customHeight="1" x14ac:dyDescent="0.25">
      <c r="B22" s="7"/>
      <c r="C22" s="28"/>
      <c r="D22" s="24"/>
      <c r="F22" s="6"/>
      <c r="G22" s="28"/>
      <c r="I22" s="31"/>
      <c r="J22" s="32"/>
      <c r="N22" s="6"/>
      <c r="O22" s="6"/>
    </row>
    <row r="23" spans="2:15" s="1" customFormat="1" ht="20.100000000000001" customHeight="1" x14ac:dyDescent="0.25">
      <c r="B23" s="23" t="s">
        <v>34</v>
      </c>
      <c r="C23" s="11">
        <f>C11</f>
        <v>6.6742999999999994E-11</v>
      </c>
      <c r="D23" s="24">
        <v>1</v>
      </c>
      <c r="F23" s="6"/>
      <c r="G23" s="33"/>
      <c r="I23" s="34"/>
      <c r="J23" s="32"/>
      <c r="N23" s="6"/>
      <c r="O23" s="6"/>
    </row>
    <row r="24" spans="2:15" s="1" customFormat="1" ht="20.100000000000001" customHeight="1" x14ac:dyDescent="0.25">
      <c r="B24" s="23" t="s">
        <v>35</v>
      </c>
      <c r="C24" s="11">
        <f>(C2/C3)*C8^2</f>
        <v>6.6743009501288582E-11</v>
      </c>
      <c r="D24" s="24">
        <f>C24/C23</f>
        <v>1.0000001423563307</v>
      </c>
      <c r="F24" s="6"/>
      <c r="G24" s="33"/>
      <c r="I24" s="27"/>
      <c r="J24" s="6"/>
      <c r="K24" s="6"/>
      <c r="L24" s="27"/>
      <c r="M24" s="6"/>
      <c r="N24" s="6"/>
      <c r="O24" s="6"/>
    </row>
    <row r="25" spans="2:15" s="1" customFormat="1" ht="20.100000000000001" customHeight="1" x14ac:dyDescent="0.25">
      <c r="B25" s="35" t="s">
        <v>36</v>
      </c>
      <c r="C25" s="11">
        <f>C2^3/(C3*C4^2)</f>
        <v>6.6742993824516622E-11</v>
      </c>
      <c r="D25" s="24">
        <f>C25/C23</f>
        <v>0.99999990747369205</v>
      </c>
      <c r="F25" s="6"/>
      <c r="G25" s="33"/>
      <c r="H25" s="27"/>
      <c r="I25" s="27"/>
      <c r="J25" s="6"/>
      <c r="K25" s="6"/>
      <c r="L25" s="6"/>
      <c r="M25" s="6"/>
      <c r="N25" s="6"/>
      <c r="O25" s="6"/>
    </row>
    <row r="26" spans="2:15" s="1" customFormat="1" ht="20.100000000000001" customHeight="1" x14ac:dyDescent="0.25">
      <c r="B26" s="35"/>
      <c r="C26" s="11"/>
      <c r="D26" s="24"/>
      <c r="F26" s="6"/>
      <c r="G26" s="33"/>
      <c r="H26" s="27"/>
      <c r="I26" s="27"/>
      <c r="J26" s="6"/>
      <c r="K26" s="6"/>
      <c r="L26" s="6"/>
      <c r="M26" s="6"/>
      <c r="N26" s="6"/>
      <c r="O26" s="6"/>
    </row>
    <row r="27" spans="2:15" s="1" customFormat="1" ht="20.100000000000001" customHeight="1" x14ac:dyDescent="0.25">
      <c r="B27" s="7"/>
      <c r="C27" s="28"/>
      <c r="F27" s="6"/>
      <c r="G27" s="28"/>
      <c r="H27" s="27"/>
      <c r="I27" s="27"/>
      <c r="J27" s="6"/>
      <c r="K27" s="6"/>
      <c r="L27" s="6"/>
      <c r="M27" s="6"/>
      <c r="N27" s="6"/>
      <c r="O27" s="6"/>
    </row>
    <row r="28" spans="2:15" s="1" customFormat="1" ht="20.100000000000001" customHeight="1" x14ac:dyDescent="0.25">
      <c r="B28" s="36"/>
      <c r="C28" s="37"/>
      <c r="D28" s="18"/>
      <c r="E28" s="18"/>
      <c r="F28" s="6"/>
      <c r="G28" s="28"/>
      <c r="H28" s="27"/>
      <c r="I28" s="27"/>
      <c r="J28" s="6"/>
      <c r="K28" s="6"/>
      <c r="L28" s="6"/>
      <c r="M28" s="6"/>
      <c r="N28" s="6"/>
      <c r="O28" s="6"/>
    </row>
    <row r="29" spans="2:15" s="1" customFormat="1" ht="20.100000000000001" customHeight="1" x14ac:dyDescent="0.25">
      <c r="B29" s="7" t="s">
        <v>37</v>
      </c>
      <c r="C29" s="28"/>
      <c r="F29" s="6"/>
      <c r="G29" s="28"/>
      <c r="H29" s="27"/>
      <c r="I29" s="27"/>
      <c r="J29" s="6"/>
      <c r="K29" s="6"/>
      <c r="L29" s="6"/>
      <c r="M29" s="6"/>
      <c r="N29" s="6"/>
      <c r="O29" s="6"/>
    </row>
    <row r="30" spans="2:15" s="1" customFormat="1" ht="20.100000000000001" customHeight="1" x14ac:dyDescent="0.25">
      <c r="B30" s="7"/>
      <c r="C30" s="28"/>
      <c r="F30" s="6"/>
      <c r="G30" s="28"/>
      <c r="H30" s="27"/>
      <c r="I30" s="27"/>
      <c r="J30" s="6"/>
      <c r="K30" s="6"/>
      <c r="L30" s="6"/>
      <c r="M30" s="6"/>
      <c r="N30" s="6"/>
      <c r="O30" s="6"/>
    </row>
    <row r="31" spans="2:15" s="1" customFormat="1" ht="20.100000000000001" customHeight="1" x14ac:dyDescent="0.25">
      <c r="B31" s="23" t="s">
        <v>38</v>
      </c>
      <c r="C31" s="3">
        <f>F2/C2</f>
        <v>2.3892224182446457E+22</v>
      </c>
      <c r="D31" s="23"/>
      <c r="E31" s="3"/>
      <c r="F31" s="6"/>
      <c r="G31" s="26"/>
      <c r="H31" s="27"/>
      <c r="I31" s="27"/>
      <c r="J31" s="6"/>
      <c r="K31" s="6"/>
      <c r="L31" s="6"/>
      <c r="M31" s="6"/>
      <c r="N31" s="6"/>
      <c r="O31" s="6"/>
    </row>
    <row r="32" spans="2:15" s="1" customFormat="1" ht="20.100000000000001" customHeight="1" x14ac:dyDescent="0.25">
      <c r="B32" s="23" t="s">
        <v>39</v>
      </c>
      <c r="C32" s="3">
        <f>C3/F3</f>
        <v>2.3892220059207921E+22</v>
      </c>
      <c r="D32" s="23"/>
      <c r="E32" s="3"/>
      <c r="F32" s="6"/>
      <c r="G32" s="26"/>
      <c r="H32" s="27"/>
      <c r="I32" s="27"/>
      <c r="J32" s="6"/>
      <c r="K32" s="6"/>
      <c r="L32" s="6"/>
      <c r="M32" s="6"/>
      <c r="N32" s="6"/>
      <c r="O32" s="6"/>
    </row>
    <row r="33" spans="2:15" s="1" customFormat="1" ht="20.100000000000001" customHeight="1" x14ac:dyDescent="0.25">
      <c r="B33" s="23"/>
      <c r="C33" s="3"/>
      <c r="D33" s="23"/>
      <c r="E33" s="3"/>
      <c r="F33" s="6"/>
      <c r="G33" s="26"/>
      <c r="H33" s="27"/>
      <c r="I33" s="27"/>
      <c r="J33" s="6"/>
      <c r="K33" s="6"/>
      <c r="L33" s="6"/>
      <c r="M33" s="6"/>
      <c r="N33" s="6"/>
      <c r="O33" s="6"/>
    </row>
    <row r="34" spans="2:15" s="1" customFormat="1" ht="20.100000000000001" customHeight="1" x14ac:dyDescent="0.25">
      <c r="D34" s="11"/>
      <c r="F34" s="6"/>
      <c r="H34" s="27"/>
      <c r="I34" s="27"/>
      <c r="J34" s="6"/>
      <c r="K34" s="6"/>
      <c r="L34" s="6"/>
      <c r="M34" s="6"/>
      <c r="N34" s="6"/>
      <c r="O34" s="6"/>
    </row>
    <row r="35" spans="2:15" s="1" customFormat="1" ht="20.100000000000001" customHeight="1" x14ac:dyDescent="0.25">
      <c r="B35" s="18"/>
      <c r="C35" s="18"/>
      <c r="D35" s="38"/>
      <c r="E35" s="18"/>
      <c r="F35" s="6"/>
      <c r="H35" s="27"/>
      <c r="I35" s="27"/>
      <c r="J35" s="6"/>
      <c r="K35" s="6"/>
      <c r="L35" s="6"/>
      <c r="M35" s="6"/>
      <c r="N35" s="6"/>
      <c r="O35" s="6"/>
    </row>
    <row r="36" spans="2:15" s="1" customFormat="1" ht="20.100000000000001" customHeight="1" x14ac:dyDescent="0.25">
      <c r="B36" s="39" t="s">
        <v>40</v>
      </c>
      <c r="D36" s="11"/>
      <c r="F36" s="6"/>
      <c r="H36" s="27"/>
      <c r="I36" s="27"/>
      <c r="J36" s="6"/>
      <c r="K36" s="6"/>
      <c r="L36" s="6"/>
      <c r="M36" s="6"/>
      <c r="N36" s="6"/>
      <c r="O36" s="6"/>
    </row>
    <row r="37" spans="2:15" s="1" customFormat="1" ht="20.100000000000001" customHeight="1" x14ac:dyDescent="0.25">
      <c r="B37" s="17"/>
      <c r="C37" s="6"/>
      <c r="D37" s="11"/>
      <c r="F37" s="6"/>
      <c r="G37" s="6"/>
      <c r="H37" s="27"/>
      <c r="I37" s="27"/>
      <c r="J37" s="6"/>
      <c r="K37" s="6"/>
      <c r="L37" s="6"/>
      <c r="M37" s="6"/>
      <c r="N37" s="6"/>
      <c r="O37" s="6"/>
    </row>
    <row r="38" spans="2:15" s="1" customFormat="1" ht="20.100000000000001" customHeight="1" x14ac:dyDescent="0.25">
      <c r="B38" s="23" t="s">
        <v>41</v>
      </c>
      <c r="C38" s="40">
        <f>1/I7</f>
        <v>1.0878277570776665E-10</v>
      </c>
      <c r="D38" s="41" t="s">
        <v>42</v>
      </c>
      <c r="F38" s="6"/>
      <c r="G38" s="42"/>
      <c r="H38" s="27"/>
      <c r="I38" s="27"/>
      <c r="J38" s="6"/>
      <c r="K38" s="6"/>
      <c r="L38" s="6"/>
      <c r="M38" s="6"/>
      <c r="N38" s="6"/>
      <c r="O38" s="6"/>
    </row>
    <row r="39" spans="2:15" s="1" customFormat="1" ht="20.100000000000001" customHeight="1" x14ac:dyDescent="0.25">
      <c r="B39" s="23" t="s">
        <v>43</v>
      </c>
      <c r="C39" s="3">
        <f>C38/C4</f>
        <v>2.0177664964667109E+33</v>
      </c>
      <c r="D39" s="11" t="s">
        <v>44</v>
      </c>
      <c r="G39" s="26"/>
      <c r="H39" s="27"/>
      <c r="I39" s="27"/>
      <c r="J39" s="6"/>
      <c r="K39" s="6"/>
      <c r="L39" s="6"/>
      <c r="M39" s="6"/>
      <c r="N39" s="6"/>
      <c r="O39" s="6"/>
    </row>
    <row r="40" spans="2:15" s="1" customFormat="1" ht="20.100000000000001" customHeight="1" x14ac:dyDescent="0.25">
      <c r="B40" s="23" t="s">
        <v>45</v>
      </c>
      <c r="C40" s="43">
        <f>C8/I7</f>
        <v>3.2612255717494057E-2</v>
      </c>
      <c r="D40" s="41" t="s">
        <v>46</v>
      </c>
      <c r="G40" s="44"/>
      <c r="H40" s="27"/>
      <c r="I40" s="27"/>
      <c r="J40" s="6"/>
      <c r="K40" s="6"/>
      <c r="L40" s="6"/>
      <c r="M40" s="6"/>
      <c r="N40" s="6"/>
      <c r="O40" s="6"/>
    </row>
    <row r="41" spans="2:15" s="1" customFormat="1" ht="20.100000000000001" customHeight="1" x14ac:dyDescent="0.25">
      <c r="B41" s="23" t="s">
        <v>47</v>
      </c>
      <c r="C41" s="3">
        <f>C40/C2</f>
        <v>2.0177667334358784E+33</v>
      </c>
      <c r="D41" s="11" t="s">
        <v>48</v>
      </c>
      <c r="F41" s="6"/>
      <c r="G41" s="26"/>
      <c r="H41" s="27"/>
      <c r="I41" s="27"/>
      <c r="J41" s="6"/>
      <c r="K41" s="6"/>
      <c r="L41" s="6"/>
      <c r="M41" s="6"/>
      <c r="N41" s="6"/>
      <c r="O41" s="6"/>
    </row>
    <row r="42" spans="2:15" s="1" customFormat="1" ht="20.100000000000001" customHeight="1" x14ac:dyDescent="0.25">
      <c r="B42" s="45"/>
      <c r="F42" s="46"/>
      <c r="G42" s="46"/>
      <c r="H42" s="27"/>
      <c r="I42" s="27"/>
      <c r="J42" s="6"/>
      <c r="K42" s="6"/>
      <c r="L42" s="6"/>
      <c r="M42" s="6"/>
      <c r="N42" s="6"/>
      <c r="O42" s="6"/>
    </row>
    <row r="43" spans="2:15" s="1" customFormat="1" ht="20.100000000000001" customHeight="1" x14ac:dyDescent="0.25">
      <c r="B43" s="47" t="s">
        <v>49</v>
      </c>
      <c r="F43" s="46"/>
      <c r="G43" s="46"/>
      <c r="H43" s="27"/>
      <c r="I43" s="27"/>
      <c r="J43" s="6"/>
      <c r="K43" s="6"/>
      <c r="L43" s="6"/>
      <c r="M43" s="6"/>
      <c r="N43" s="6"/>
      <c r="O43" s="6"/>
    </row>
    <row r="44" spans="2:15" s="1" customFormat="1" ht="20.100000000000001" customHeight="1" x14ac:dyDescent="0.25">
      <c r="B44" s="23" t="s">
        <v>50</v>
      </c>
      <c r="F44" s="46"/>
      <c r="G44" s="46"/>
      <c r="H44" s="27"/>
      <c r="I44" s="27"/>
      <c r="J44" s="6"/>
      <c r="K44" s="6"/>
      <c r="L44" s="6"/>
      <c r="M44" s="6"/>
      <c r="N44" s="6"/>
      <c r="O44" s="6"/>
    </row>
    <row r="45" spans="2:15" s="1" customFormat="1" ht="20.100000000000001" customHeight="1" x14ac:dyDescent="0.25">
      <c r="B45" s="23" t="s">
        <v>51</v>
      </c>
      <c r="C45" s="12">
        <f>2*C8</f>
        <v>599584916</v>
      </c>
      <c r="D45" s="48">
        <f>C45/C8</f>
        <v>2</v>
      </c>
      <c r="F45" s="46"/>
      <c r="G45" s="25"/>
      <c r="H45" s="27"/>
      <c r="I45" s="27"/>
      <c r="J45" s="6"/>
      <c r="K45" s="6"/>
      <c r="L45" s="6"/>
      <c r="M45" s="6"/>
      <c r="N45" s="6"/>
      <c r="O45" s="6"/>
    </row>
    <row r="46" spans="2:15" s="1" customFormat="1" ht="20.100000000000001" customHeight="1" x14ac:dyDescent="0.25">
      <c r="B46" s="23" t="s">
        <v>52</v>
      </c>
      <c r="C46" s="3">
        <f>C45*C4</f>
        <v>3.2325103796302523E-35</v>
      </c>
      <c r="D46" s="48">
        <f>C46/C2</f>
        <v>2.0000002348826467</v>
      </c>
      <c r="F46" s="46"/>
      <c r="G46" s="26"/>
      <c r="H46" s="27"/>
      <c r="I46" s="3"/>
      <c r="J46" s="6"/>
      <c r="K46" s="6"/>
      <c r="L46" s="6"/>
      <c r="M46" s="6"/>
      <c r="N46" s="6"/>
      <c r="O46" s="6"/>
    </row>
    <row r="47" spans="2:15" s="1" customFormat="1" ht="20.100000000000001" customHeight="1" x14ac:dyDescent="0.25">
      <c r="B47" s="23" t="s">
        <v>53</v>
      </c>
      <c r="C47" s="43">
        <f>C45/(I7)</f>
        <v>6.5224511434988114E-2</v>
      </c>
      <c r="D47" s="48">
        <f>C47/C40</f>
        <v>2</v>
      </c>
      <c r="E47" s="6"/>
      <c r="F47" s="46"/>
      <c r="G47" s="46"/>
      <c r="H47" s="27"/>
      <c r="I47" s="43"/>
      <c r="J47" s="6"/>
      <c r="K47" s="6"/>
      <c r="L47" s="6"/>
      <c r="M47" s="6"/>
      <c r="N47" s="6"/>
      <c r="O47" s="6"/>
    </row>
    <row r="48" spans="2:15" s="1" customFormat="1" ht="20.100000000000001" customHeight="1" x14ac:dyDescent="0.25">
      <c r="B48" s="23" t="s">
        <v>54</v>
      </c>
      <c r="C48" s="3">
        <f>C47/C46</f>
        <v>2.0177664964667109E+33</v>
      </c>
      <c r="F48" s="46"/>
      <c r="G48" s="46"/>
      <c r="H48" s="27"/>
      <c r="I48" s="27"/>
      <c r="J48" s="6"/>
      <c r="K48" s="6"/>
      <c r="L48" s="6"/>
      <c r="M48" s="6"/>
      <c r="N48" s="6"/>
      <c r="O48" s="6"/>
    </row>
    <row r="49" spans="2:15" s="1" customFormat="1" ht="20.100000000000001" customHeight="1" x14ac:dyDescent="0.25">
      <c r="F49" s="46"/>
      <c r="G49" s="46"/>
      <c r="H49" s="27"/>
      <c r="I49" s="27"/>
      <c r="J49" s="6"/>
      <c r="K49" s="6"/>
      <c r="L49" s="6"/>
      <c r="M49" s="6"/>
      <c r="N49" s="6"/>
      <c r="O49" s="6"/>
    </row>
    <row r="50" spans="2:15" s="1" customFormat="1" ht="20.100000000000001" customHeight="1" x14ac:dyDescent="0.25">
      <c r="B50" s="49" t="s">
        <v>55</v>
      </c>
      <c r="C50" s="50">
        <f>1/C8</f>
        <v>3.3356409519815204E-9</v>
      </c>
      <c r="F50" s="46"/>
      <c r="G50" s="46"/>
      <c r="H50" s="27"/>
      <c r="I50" s="27"/>
      <c r="J50" s="6"/>
      <c r="K50" s="6"/>
      <c r="L50" s="6"/>
      <c r="M50" s="6"/>
      <c r="N50" s="6"/>
      <c r="O50" s="6"/>
    </row>
    <row r="51" spans="2:15" s="1" customFormat="1" ht="20.100000000000001" customHeight="1" x14ac:dyDescent="0.25">
      <c r="F51" s="46"/>
      <c r="G51" s="46"/>
      <c r="H51" s="27"/>
      <c r="I51" s="27"/>
      <c r="J51" s="6"/>
      <c r="K51" s="6"/>
      <c r="L51" s="6"/>
      <c r="M51" s="6"/>
      <c r="N51" s="6"/>
      <c r="O51" s="6"/>
    </row>
    <row r="52" spans="2:15" s="1" customFormat="1" ht="20.100000000000001" customHeight="1" x14ac:dyDescent="0.25">
      <c r="F52" s="46"/>
      <c r="G52" s="46"/>
      <c r="H52" s="27"/>
      <c r="I52" s="27"/>
      <c r="J52" s="6"/>
      <c r="K52" s="6"/>
      <c r="L52" s="6"/>
      <c r="M52" s="6"/>
      <c r="N52" s="6"/>
      <c r="O52" s="6"/>
    </row>
    <row r="53" spans="2:15" s="1" customFormat="1" ht="20.100000000000001" customHeight="1" x14ac:dyDescent="0.25">
      <c r="B53" s="51"/>
      <c r="C53" s="18"/>
      <c r="D53" s="18"/>
      <c r="E53" s="38"/>
      <c r="F53" s="46"/>
      <c r="G53" s="46"/>
      <c r="H53" s="27"/>
      <c r="I53" s="27"/>
      <c r="J53" s="6"/>
      <c r="K53" s="6"/>
      <c r="L53" s="6"/>
      <c r="M53" s="6"/>
      <c r="N53" s="6"/>
      <c r="O53" s="6"/>
    </row>
    <row r="54" spans="2:15" s="1" customFormat="1" ht="20.100000000000001" customHeight="1" x14ac:dyDescent="0.25">
      <c r="B54" s="52" t="s">
        <v>56</v>
      </c>
      <c r="C54" s="53"/>
      <c r="D54" s="54"/>
      <c r="E54" s="54"/>
      <c r="F54" s="46"/>
      <c r="G54" s="46"/>
      <c r="H54" s="27"/>
      <c r="I54" s="27"/>
      <c r="J54" s="6"/>
      <c r="K54" s="6"/>
      <c r="L54" s="6"/>
      <c r="M54" s="6"/>
      <c r="N54" s="6"/>
      <c r="O54" s="6"/>
    </row>
    <row r="55" spans="2:15" s="1" customFormat="1" ht="20.100000000000001" customHeight="1" x14ac:dyDescent="0.25">
      <c r="B55" s="23"/>
      <c r="F55" s="46"/>
      <c r="G55" s="46"/>
      <c r="H55" s="27"/>
      <c r="I55" s="27"/>
      <c r="J55" s="6"/>
      <c r="K55" s="6"/>
      <c r="L55" s="6"/>
      <c r="M55" s="6"/>
      <c r="N55" s="6"/>
      <c r="O55" s="6"/>
    </row>
    <row r="56" spans="2:15" s="1" customFormat="1" ht="20.100000000000001" customHeight="1" x14ac:dyDescent="0.25">
      <c r="B56" s="23"/>
      <c r="F56" s="46"/>
      <c r="G56" s="46"/>
      <c r="H56" s="27"/>
      <c r="I56" s="27"/>
      <c r="J56" s="6"/>
      <c r="K56" s="6"/>
      <c r="L56" s="6"/>
      <c r="M56" s="6"/>
      <c r="N56" s="6"/>
      <c r="O56" s="6"/>
    </row>
    <row r="57" spans="2:15" s="1" customFormat="1" ht="20.100000000000001" customHeight="1" x14ac:dyDescent="0.25">
      <c r="B57" s="47" t="s">
        <v>57</v>
      </c>
      <c r="F57" s="46"/>
      <c r="G57" s="46"/>
      <c r="H57" s="27"/>
      <c r="I57" s="27"/>
      <c r="J57" s="6"/>
      <c r="K57" s="6"/>
      <c r="L57" s="6"/>
      <c r="M57" s="6"/>
      <c r="N57" s="6"/>
      <c r="O57" s="6"/>
    </row>
    <row r="58" spans="2:15" s="1" customFormat="1" ht="20.100000000000001" customHeight="1" x14ac:dyDescent="0.25">
      <c r="B58" s="45"/>
      <c r="F58" s="46"/>
      <c r="G58" s="46"/>
      <c r="H58" s="27"/>
      <c r="I58" s="27"/>
      <c r="J58" s="6"/>
      <c r="K58" s="6"/>
      <c r="L58" s="6"/>
      <c r="M58" s="6"/>
      <c r="N58" s="6"/>
      <c r="O58" s="6"/>
    </row>
    <row r="59" spans="2:15" s="1" customFormat="1" ht="20.100000000000001" customHeight="1" x14ac:dyDescent="0.25">
      <c r="B59" s="55" t="s">
        <v>58</v>
      </c>
      <c r="C59" s="3">
        <f>C4*C8</f>
        <v>1.6162551898151262E-35</v>
      </c>
      <c r="D59" s="56" t="s">
        <v>59</v>
      </c>
      <c r="E59" s="57" t="s">
        <v>60</v>
      </c>
      <c r="F59" s="46"/>
      <c r="G59" s="26"/>
      <c r="H59" s="27"/>
      <c r="I59" s="27"/>
      <c r="J59" s="6"/>
      <c r="K59" s="6"/>
      <c r="L59" s="6"/>
      <c r="M59" s="6"/>
      <c r="N59" s="6"/>
      <c r="O59" s="6"/>
    </row>
    <row r="60" spans="2:15" s="1" customFormat="1" ht="20.100000000000001" customHeight="1" x14ac:dyDescent="0.25">
      <c r="B60" s="55" t="s">
        <v>51</v>
      </c>
      <c r="C60" s="58">
        <f>C2/C59</f>
        <v>0.99999988255869043</v>
      </c>
      <c r="D60" s="56" t="s">
        <v>61</v>
      </c>
      <c r="E60" s="57" t="s">
        <v>62</v>
      </c>
      <c r="F60" s="46"/>
      <c r="G60" s="59"/>
      <c r="H60" s="27"/>
      <c r="I60" s="27"/>
      <c r="J60" s="6"/>
      <c r="K60" s="6"/>
      <c r="L60" s="6"/>
      <c r="M60" s="6"/>
      <c r="N60" s="6"/>
      <c r="O60" s="6"/>
    </row>
    <row r="61" spans="2:15" s="1" customFormat="1" ht="20.100000000000001" customHeight="1" x14ac:dyDescent="0.25">
      <c r="B61" s="55" t="s">
        <v>63</v>
      </c>
      <c r="C61" s="3">
        <f>(C2/C3)*C60^2</f>
        <v>7.4261595820034726E-28</v>
      </c>
      <c r="D61" s="56" t="s">
        <v>64</v>
      </c>
      <c r="E61" s="53" t="s">
        <v>65</v>
      </c>
      <c r="F61" s="46"/>
      <c r="G61" s="26"/>
      <c r="H61" s="27"/>
      <c r="I61" s="27"/>
      <c r="J61" s="6"/>
      <c r="K61" s="6"/>
      <c r="L61" s="6"/>
      <c r="M61" s="6"/>
      <c r="N61" s="6"/>
      <c r="O61" s="6"/>
    </row>
    <row r="62" spans="2:15" s="1" customFormat="1" ht="20.100000000000001" customHeight="1" x14ac:dyDescent="0.25">
      <c r="B62" s="60" t="s">
        <v>66</v>
      </c>
      <c r="C62" s="3">
        <f>C2*C3*C60</f>
        <v>3.5176719215499546E-43</v>
      </c>
      <c r="D62" s="56" t="s">
        <v>67</v>
      </c>
      <c r="E62" s="57" t="s">
        <v>68</v>
      </c>
      <c r="F62" s="46"/>
      <c r="G62" s="26"/>
      <c r="H62" s="27"/>
      <c r="I62" s="27"/>
      <c r="J62" s="6"/>
      <c r="K62" s="6"/>
      <c r="L62" s="6"/>
      <c r="M62" s="6"/>
      <c r="N62" s="6"/>
      <c r="O62" s="6"/>
    </row>
    <row r="63" spans="2:15" s="1" customFormat="1" ht="20.100000000000001" customHeight="1" x14ac:dyDescent="0.25">
      <c r="E63" s="46"/>
      <c r="F63" s="46"/>
      <c r="G63" s="26"/>
      <c r="H63" s="27"/>
      <c r="I63" s="27"/>
      <c r="J63" s="6"/>
      <c r="K63" s="6"/>
      <c r="L63" s="6"/>
      <c r="M63" s="6"/>
      <c r="N63" s="6"/>
      <c r="O63" s="6"/>
    </row>
    <row r="64" spans="2:15" s="1" customFormat="1" ht="20.100000000000001" customHeight="1" x14ac:dyDescent="0.25">
      <c r="B64" s="47" t="s">
        <v>69</v>
      </c>
      <c r="E64" s="46"/>
      <c r="F64" s="46"/>
      <c r="G64" s="26"/>
      <c r="H64" s="27"/>
      <c r="I64" s="27"/>
      <c r="J64" s="6"/>
      <c r="K64" s="6"/>
      <c r="L64" s="6"/>
      <c r="M64" s="6"/>
      <c r="N64" s="6"/>
      <c r="O64" s="6"/>
    </row>
    <row r="65" spans="2:16" s="1" customFormat="1" ht="20.100000000000001" customHeight="1" x14ac:dyDescent="0.25">
      <c r="B65" s="60" t="s">
        <v>70</v>
      </c>
      <c r="C65" s="61">
        <f>C79</f>
        <v>3.2612255717494057E-2</v>
      </c>
      <c r="D65" s="56" t="s">
        <v>46</v>
      </c>
      <c r="E65" s="46"/>
      <c r="F65" s="46"/>
      <c r="G65" s="26"/>
      <c r="H65" s="27"/>
      <c r="I65" s="27"/>
      <c r="J65" s="6"/>
      <c r="K65" s="6"/>
      <c r="L65" s="6"/>
      <c r="M65" s="6"/>
      <c r="N65" s="6"/>
      <c r="O65" s="6"/>
    </row>
    <row r="66" spans="2:16" s="1" customFormat="1" ht="20.100000000000001" customHeight="1" x14ac:dyDescent="0.25">
      <c r="B66" s="60" t="s">
        <v>44</v>
      </c>
      <c r="C66" s="61">
        <f>C65/C60</f>
        <v>3.2612259547520527E-2</v>
      </c>
      <c r="D66" s="56" t="s">
        <v>59</v>
      </c>
      <c r="E66" s="3" t="s">
        <v>71</v>
      </c>
      <c r="F66" s="46"/>
      <c r="G66" s="26"/>
      <c r="H66" s="27"/>
      <c r="I66" s="27"/>
      <c r="J66" s="6"/>
      <c r="K66" s="6"/>
      <c r="L66" s="6"/>
      <c r="M66" s="6"/>
      <c r="N66" s="6"/>
      <c r="O66" s="6"/>
    </row>
    <row r="67" spans="2:16" s="1" customFormat="1" ht="20.100000000000001" customHeight="1" x14ac:dyDescent="0.25">
      <c r="B67" s="60" t="s">
        <v>72</v>
      </c>
      <c r="C67" s="3">
        <f>C66/C59</f>
        <v>2.0177667334358784E+33</v>
      </c>
      <c r="D67" s="54" t="s">
        <v>44</v>
      </c>
      <c r="E67" s="3" t="s">
        <v>73</v>
      </c>
      <c r="F67" s="46"/>
      <c r="G67" s="26"/>
      <c r="H67" s="27"/>
      <c r="I67" s="27"/>
      <c r="J67" s="6"/>
      <c r="K67" s="6"/>
      <c r="L67" s="6"/>
      <c r="M67" s="6"/>
      <c r="N67" s="6"/>
      <c r="O67" s="6"/>
    </row>
    <row r="68" spans="2:16" s="1" customFormat="1" ht="20.100000000000001" customHeight="1" x14ac:dyDescent="0.25">
      <c r="B68" s="60"/>
      <c r="C68" s="62"/>
      <c r="D68" s="3"/>
      <c r="E68" s="46"/>
      <c r="F68" s="46"/>
      <c r="G68" s="26"/>
      <c r="H68" s="27"/>
      <c r="I68" s="27"/>
      <c r="J68" s="6"/>
      <c r="K68" s="6"/>
      <c r="L68" s="6"/>
      <c r="M68" s="6"/>
      <c r="N68" s="6"/>
      <c r="O68" s="6"/>
    </row>
    <row r="69" spans="2:16" s="1" customFormat="1" ht="20.100000000000001" customHeight="1" x14ac:dyDescent="0.25">
      <c r="B69" s="60"/>
      <c r="C69" s="62"/>
      <c r="D69" s="3"/>
      <c r="E69" s="46"/>
      <c r="F69" s="46"/>
      <c r="G69" s="26"/>
      <c r="H69" s="27"/>
      <c r="I69" s="27"/>
      <c r="J69" s="6"/>
      <c r="K69" s="6"/>
      <c r="L69" s="6"/>
      <c r="M69" s="6"/>
      <c r="N69" s="6"/>
      <c r="O69" s="6"/>
    </row>
    <row r="70" spans="2:16" s="1" customFormat="1" ht="20.100000000000001" customHeight="1" x14ac:dyDescent="0.25">
      <c r="B70" s="63"/>
      <c r="C70" s="20"/>
      <c r="D70" s="38"/>
      <c r="E70" s="18"/>
      <c r="F70" s="6"/>
      <c r="G70" s="6"/>
      <c r="H70" s="27"/>
      <c r="I70" s="27"/>
      <c r="J70" s="6"/>
      <c r="K70" s="6"/>
      <c r="L70" s="6"/>
      <c r="M70" s="6"/>
      <c r="N70" s="6"/>
      <c r="O70" s="6"/>
    </row>
    <row r="71" spans="2:16" s="1" customFormat="1" ht="20.100000000000001" customHeight="1" x14ac:dyDescent="0.25">
      <c r="B71" s="64" t="s">
        <v>74</v>
      </c>
      <c r="C71" s="3"/>
      <c r="D71" s="11"/>
      <c r="F71" s="6"/>
      <c r="G71" s="6"/>
      <c r="H71" s="27"/>
      <c r="I71" s="27"/>
      <c r="J71" s="6"/>
      <c r="K71" s="6"/>
      <c r="L71" s="6"/>
      <c r="M71" s="6"/>
      <c r="N71" s="6"/>
      <c r="O71" s="6"/>
    </row>
    <row r="72" spans="2:16" s="1" customFormat="1" ht="20.100000000000001" customHeight="1" x14ac:dyDescent="0.25">
      <c r="B72" s="23"/>
      <c r="C72" s="3"/>
      <c r="D72" s="11"/>
      <c r="F72" s="6"/>
      <c r="G72" s="6"/>
      <c r="H72" s="27"/>
      <c r="I72" s="27"/>
      <c r="J72" s="6"/>
      <c r="K72" s="6"/>
      <c r="L72" s="6"/>
      <c r="M72" s="6"/>
      <c r="N72" s="6"/>
      <c r="O72" s="6"/>
    </row>
    <row r="73" spans="2:16" s="1" customFormat="1" ht="20.100000000000001" customHeight="1" x14ac:dyDescent="0.25">
      <c r="B73" s="65" t="s">
        <v>75</v>
      </c>
      <c r="D73" s="11"/>
      <c r="F73" s="6"/>
      <c r="G73" s="6"/>
      <c r="H73" s="6"/>
      <c r="I73" s="27"/>
      <c r="J73" s="27"/>
      <c r="K73" s="6"/>
      <c r="L73" s="6"/>
      <c r="M73" s="6"/>
      <c r="N73" s="6"/>
      <c r="O73" s="6"/>
      <c r="P73" s="6"/>
    </row>
    <row r="74" spans="2:16" s="1" customFormat="1" ht="20.100000000000001" customHeight="1" x14ac:dyDescent="0.25">
      <c r="B74" s="22"/>
      <c r="E74" s="11"/>
      <c r="G74" s="6"/>
      <c r="I74" s="27"/>
      <c r="J74" s="27"/>
      <c r="K74" s="6"/>
      <c r="L74" s="6"/>
      <c r="M74" s="6"/>
      <c r="N74" s="6"/>
      <c r="O74" s="6"/>
      <c r="P74" s="6"/>
    </row>
    <row r="75" spans="2:16" s="1" customFormat="1" ht="24.95" customHeight="1" x14ac:dyDescent="0.25">
      <c r="B75" s="66"/>
      <c r="C75" s="67" t="s">
        <v>76</v>
      </c>
      <c r="D75" s="67" t="s">
        <v>77</v>
      </c>
      <c r="E75" s="67" t="s">
        <v>78</v>
      </c>
      <c r="F75" s="67" t="s">
        <v>79</v>
      </c>
      <c r="G75" s="67" t="s">
        <v>80</v>
      </c>
      <c r="H75" s="67" t="s">
        <v>81</v>
      </c>
      <c r="I75" s="67" t="s">
        <v>81</v>
      </c>
      <c r="J75" s="67" t="s">
        <v>81</v>
      </c>
      <c r="N75" s="6"/>
      <c r="O75" s="6"/>
      <c r="P75" s="6"/>
    </row>
    <row r="76" spans="2:16" s="1" customFormat="1" ht="24.95" customHeight="1" thickBot="1" x14ac:dyDescent="0.3">
      <c r="B76" s="68"/>
      <c r="C76" s="69" t="s">
        <v>70</v>
      </c>
      <c r="D76" s="70" t="s">
        <v>46</v>
      </c>
      <c r="E76" s="71" t="s">
        <v>44</v>
      </c>
      <c r="F76" s="72" t="s">
        <v>82</v>
      </c>
      <c r="G76" s="72" t="s">
        <v>83</v>
      </c>
      <c r="H76" s="71" t="s">
        <v>84</v>
      </c>
      <c r="I76" s="71" t="s">
        <v>84</v>
      </c>
      <c r="J76" s="71" t="s">
        <v>84</v>
      </c>
      <c r="N76" s="6"/>
      <c r="O76" s="6"/>
      <c r="P76" s="6"/>
    </row>
    <row r="77" spans="2:16" s="56" customFormat="1" ht="24.95" customHeight="1" thickTop="1" x14ac:dyDescent="0.25">
      <c r="B77" s="73"/>
      <c r="C77" s="56" t="s">
        <v>46</v>
      </c>
      <c r="D77" s="56" t="s">
        <v>85</v>
      </c>
      <c r="E77" s="56" t="s">
        <v>42</v>
      </c>
      <c r="F77" s="74" t="s">
        <v>86</v>
      </c>
      <c r="G77" s="74" t="s">
        <v>87</v>
      </c>
      <c r="H77" s="56" t="s">
        <v>88</v>
      </c>
      <c r="I77" s="56" t="s">
        <v>88</v>
      </c>
      <c r="J77" s="56" t="s">
        <v>88</v>
      </c>
      <c r="N77" s="74"/>
      <c r="O77" s="74"/>
      <c r="P77" s="74"/>
    </row>
    <row r="78" spans="2:16" s="56" customFormat="1" ht="60" customHeight="1" x14ac:dyDescent="0.25">
      <c r="B78" s="73"/>
      <c r="F78" s="74"/>
      <c r="G78" s="74"/>
      <c r="N78" s="74"/>
      <c r="O78" s="74"/>
      <c r="P78" s="74"/>
    </row>
    <row r="79" spans="2:16" s="1" customFormat="1" ht="20.100000000000001" customHeight="1" x14ac:dyDescent="0.25">
      <c r="B79" s="75" t="s">
        <v>89</v>
      </c>
      <c r="C79" s="76">
        <f>C8/I7</f>
        <v>3.2612255717494057E-2</v>
      </c>
      <c r="D79" s="76">
        <f>H79/C8^2</f>
        <v>6.7772653123120677E-41</v>
      </c>
      <c r="E79" s="76">
        <f>1/I7</f>
        <v>1.0878277570776665E-10</v>
      </c>
      <c r="F79" s="77">
        <f>I7</f>
        <v>9192631770</v>
      </c>
      <c r="G79" s="78">
        <f>F79/C8</f>
        <v>30.663318988498371</v>
      </c>
      <c r="H79" s="76">
        <f>C9*I7</f>
        <v>6.0911022971138662E-24</v>
      </c>
      <c r="I79" s="76">
        <f>C9*C8/C79</f>
        <v>6.0911022971138662E-24</v>
      </c>
      <c r="J79" s="76">
        <f>C9*C8*G79</f>
        <v>6.0911022971138669E-24</v>
      </c>
      <c r="K79" s="79"/>
      <c r="N79" s="6"/>
      <c r="O79" s="6"/>
      <c r="P79" s="6"/>
    </row>
    <row r="80" spans="2:16" s="1" customFormat="1" ht="20.100000000000001" customHeight="1" x14ac:dyDescent="0.25">
      <c r="B80" s="75"/>
      <c r="C80" s="80"/>
      <c r="D80" s="80"/>
      <c r="E80" s="80"/>
      <c r="F80" s="81"/>
      <c r="G80" s="82"/>
      <c r="H80" s="80"/>
      <c r="I80" s="80"/>
      <c r="J80" s="80"/>
      <c r="K80" s="79"/>
      <c r="N80" s="6"/>
      <c r="O80" s="6"/>
      <c r="P80" s="6"/>
    </row>
    <row r="81" spans="2:16" s="1" customFormat="1" ht="60" customHeight="1" x14ac:dyDescent="0.25">
      <c r="B81" s="66"/>
      <c r="C81" s="83"/>
      <c r="D81" s="83"/>
      <c r="E81" s="83"/>
      <c r="F81" s="12"/>
      <c r="G81" s="84"/>
      <c r="H81" s="83"/>
      <c r="I81" s="83"/>
      <c r="J81" s="83"/>
      <c r="K81" s="79"/>
      <c r="N81" s="6"/>
      <c r="O81" s="6"/>
      <c r="P81" s="6"/>
    </row>
    <row r="82" spans="2:16" ht="20.100000000000001" customHeight="1" x14ac:dyDescent="0.25">
      <c r="B82" s="75" t="s">
        <v>89</v>
      </c>
      <c r="C82" s="85">
        <f>(E79/C4)*C2</f>
        <v>3.2612251887468038E-2</v>
      </c>
      <c r="D82" s="85">
        <f>(C4/E79)*(C3*2*PI())</f>
        <v>6.7772649386299822E-41</v>
      </c>
      <c r="E82" s="85">
        <f>(C79/C2)*C4</f>
        <v>1.0878278848335979E-10</v>
      </c>
      <c r="F82" s="86"/>
      <c r="G82" s="87">
        <f>(C4/E79)*(1/C2)</f>
        <v>30.663322589639133</v>
      </c>
      <c r="H82" s="85">
        <f>(C2/C99)*C6</f>
        <v>6.0911012459181644E-24</v>
      </c>
      <c r="I82" s="85">
        <f>(D79/C3)*C6</f>
        <v>6.0911022971138669E-24</v>
      </c>
      <c r="J82" s="85">
        <f>(C4/E79)*C6*2*PI()</f>
        <v>6.0911019612651568E-24</v>
      </c>
    </row>
    <row r="83" spans="2:16" ht="20.100000000000001" customHeight="1" x14ac:dyDescent="0.25">
      <c r="B83" s="75"/>
      <c r="C83" s="88"/>
      <c r="D83" s="88"/>
      <c r="E83" s="88"/>
      <c r="F83" s="89"/>
      <c r="G83" s="90"/>
      <c r="H83" s="88"/>
      <c r="I83" s="88"/>
      <c r="J83" s="88"/>
    </row>
    <row r="84" spans="2:16" s="1" customFormat="1" ht="60" customHeight="1" x14ac:dyDescent="0.25">
      <c r="B84" s="91"/>
      <c r="D84" s="92"/>
      <c r="E84" s="93"/>
      <c r="G84" s="6"/>
      <c r="I84" s="6"/>
      <c r="K84" s="6"/>
      <c r="L84" s="6"/>
      <c r="M84" s="6"/>
      <c r="N84" s="6"/>
      <c r="O84" s="6"/>
      <c r="P84" s="6"/>
    </row>
    <row r="85" spans="2:16" s="95" customFormat="1" ht="20.100000000000001" customHeight="1" thickBot="1" x14ac:dyDescent="0.3">
      <c r="B85" s="94"/>
      <c r="C85" s="95" t="s">
        <v>48</v>
      </c>
      <c r="D85" s="96" t="s">
        <v>90</v>
      </c>
      <c r="E85" s="97" t="s">
        <v>44</v>
      </c>
      <c r="H85" s="95" t="s">
        <v>84</v>
      </c>
      <c r="I85" s="98"/>
      <c r="K85" s="98"/>
      <c r="L85" s="98"/>
      <c r="M85" s="98"/>
      <c r="N85" s="98"/>
      <c r="O85" s="98"/>
      <c r="P85" s="98"/>
    </row>
    <row r="86" spans="2:16" s="1" customFormat="1" ht="20.100000000000001" customHeight="1" thickBot="1" x14ac:dyDescent="0.3">
      <c r="B86" s="99" t="s">
        <v>91</v>
      </c>
      <c r="C86" s="100">
        <f>C79/C2</f>
        <v>2.0177667334358784E+33</v>
      </c>
      <c r="D86" s="101">
        <f>D79/C3</f>
        <v>3.1139310047132456E-33</v>
      </c>
      <c r="E86" s="100">
        <f>E79/C4</f>
        <v>2.0177664964667109E+33</v>
      </c>
      <c r="F86" s="102" t="s">
        <v>92</v>
      </c>
      <c r="G86" s="102" t="s">
        <v>92</v>
      </c>
      <c r="H86" s="101">
        <f>H79/$C$6</f>
        <v>3.1139310047132456E-33</v>
      </c>
      <c r="I86" s="102" t="s">
        <v>92</v>
      </c>
      <c r="J86" s="102" t="s">
        <v>92</v>
      </c>
      <c r="K86" s="103"/>
      <c r="L86" s="6"/>
      <c r="M86" s="6"/>
      <c r="N86" s="6"/>
      <c r="O86" s="6"/>
      <c r="P86" s="6"/>
    </row>
    <row r="87" spans="2:16" s="1" customFormat="1" ht="20.100000000000001" customHeight="1" thickBot="1" x14ac:dyDescent="0.3">
      <c r="B87" s="104" t="s">
        <v>93</v>
      </c>
      <c r="C87" s="105">
        <f>1/C86</f>
        <v>4.955974263175543E-34</v>
      </c>
      <c r="D87" s="106">
        <f>1/D86</f>
        <v>3.2113749421114343E+32</v>
      </c>
      <c r="E87" s="105">
        <f>1/E86</f>
        <v>4.9559748452117187E-34</v>
      </c>
      <c r="F87" s="105"/>
      <c r="G87" s="105"/>
      <c r="H87" s="106">
        <f>1/H86</f>
        <v>3.2113749421114343E+32</v>
      </c>
      <c r="I87" s="105"/>
      <c r="J87" s="105"/>
      <c r="K87" s="6"/>
      <c r="L87" s="6"/>
      <c r="M87" s="6"/>
      <c r="N87" s="6"/>
      <c r="O87" s="6"/>
      <c r="P87" s="6"/>
    </row>
    <row r="88" spans="2:16" s="1" customFormat="1" ht="20.100000000000001" customHeight="1" x14ac:dyDescent="0.25">
      <c r="B88" s="91"/>
      <c r="D88" s="92"/>
      <c r="E88" s="93"/>
      <c r="G88" s="3"/>
      <c r="I88" s="6"/>
      <c r="K88" s="6"/>
      <c r="L88" s="6"/>
      <c r="M88" s="6"/>
      <c r="N88" s="6"/>
      <c r="O88" s="6"/>
      <c r="P88" s="6"/>
    </row>
    <row r="89" spans="2:16" s="1" customFormat="1" ht="20.100000000000001" customHeight="1" x14ac:dyDescent="0.25">
      <c r="B89" s="91"/>
      <c r="D89" s="92"/>
      <c r="E89" s="93"/>
      <c r="G89" s="3"/>
      <c r="I89" s="6"/>
      <c r="K89" s="6"/>
      <c r="L89" s="6"/>
      <c r="M89" s="6"/>
      <c r="N89" s="6"/>
      <c r="O89" s="6"/>
      <c r="P89" s="6"/>
    </row>
    <row r="90" spans="2:16" s="1" customFormat="1" ht="20.100000000000001" customHeight="1" x14ac:dyDescent="0.3">
      <c r="B90" s="91"/>
      <c r="C90" s="107" t="s">
        <v>94</v>
      </c>
      <c r="E90" s="93"/>
      <c r="G90" s="3"/>
      <c r="I90" s="6"/>
      <c r="K90" s="6"/>
      <c r="L90" s="6"/>
      <c r="M90" s="6"/>
      <c r="N90" s="6"/>
      <c r="O90" s="6"/>
      <c r="P90" s="6"/>
    </row>
    <row r="91" spans="2:16" s="1" customFormat="1" ht="20.100000000000001" customHeight="1" x14ac:dyDescent="0.25">
      <c r="B91" s="91"/>
      <c r="D91" s="92"/>
      <c r="E91" s="93"/>
      <c r="G91" s="6"/>
      <c r="I91" s="6"/>
      <c r="K91" s="6"/>
      <c r="L91" s="6"/>
      <c r="M91" s="6"/>
      <c r="N91" s="6"/>
      <c r="O91" s="6"/>
      <c r="P91" s="6"/>
    </row>
    <row r="92" spans="2:16" s="1" customFormat="1" ht="20.100000000000001" customHeight="1" x14ac:dyDescent="0.25">
      <c r="B92" s="91"/>
      <c r="D92" s="92"/>
      <c r="E92" s="93"/>
      <c r="G92" s="6"/>
      <c r="I92" s="6"/>
      <c r="K92" s="6"/>
      <c r="L92" s="6"/>
      <c r="M92" s="6"/>
      <c r="N92" s="6"/>
      <c r="O92" s="6"/>
      <c r="P92" s="6"/>
    </row>
    <row r="93" spans="2:16" s="1" customFormat="1" ht="20.100000000000001" customHeight="1" x14ac:dyDescent="0.25">
      <c r="B93" s="91"/>
      <c r="D93" s="92"/>
      <c r="E93" s="93"/>
      <c r="G93" s="6"/>
      <c r="I93" s="6"/>
      <c r="K93" s="6"/>
      <c r="L93" s="6"/>
      <c r="M93" s="6"/>
      <c r="N93" s="6"/>
      <c r="O93" s="6"/>
      <c r="P93" s="6"/>
    </row>
    <row r="94" spans="2:16" s="1" customFormat="1" ht="20.100000000000001" customHeight="1" x14ac:dyDescent="0.25">
      <c r="B94" s="91"/>
      <c r="D94" s="92"/>
      <c r="E94" s="93"/>
      <c r="G94" s="6"/>
      <c r="I94" s="6"/>
      <c r="K94" s="6"/>
      <c r="L94" s="6"/>
      <c r="M94" s="6"/>
      <c r="N94" s="6"/>
      <c r="O94" s="6"/>
      <c r="P94" s="6"/>
    </row>
    <row r="95" spans="2:16" s="1" customFormat="1" ht="24.95" customHeight="1" x14ac:dyDescent="0.25">
      <c r="B95" s="91"/>
      <c r="C95" s="67" t="s">
        <v>95</v>
      </c>
      <c r="D95" s="67" t="s">
        <v>77</v>
      </c>
      <c r="E95" s="67" t="s">
        <v>96</v>
      </c>
      <c r="F95" s="67" t="s">
        <v>79</v>
      </c>
      <c r="G95" s="67" t="s">
        <v>80</v>
      </c>
      <c r="H95" s="67" t="s">
        <v>81</v>
      </c>
      <c r="I95" s="67" t="s">
        <v>81</v>
      </c>
      <c r="J95" s="67" t="s">
        <v>81</v>
      </c>
      <c r="K95" s="6"/>
      <c r="L95" s="6"/>
      <c r="M95" s="6"/>
      <c r="N95" s="6"/>
      <c r="O95" s="6"/>
      <c r="P95" s="6"/>
    </row>
    <row r="96" spans="2:16" s="79" customFormat="1" ht="24.95" customHeight="1" thickBot="1" x14ac:dyDescent="0.3">
      <c r="B96" s="91"/>
      <c r="C96" s="71" t="s">
        <v>97</v>
      </c>
      <c r="D96" s="70" t="s">
        <v>46</v>
      </c>
      <c r="E96" s="108" t="s">
        <v>98</v>
      </c>
      <c r="F96" s="70" t="s">
        <v>99</v>
      </c>
      <c r="G96" s="70" t="s">
        <v>100</v>
      </c>
      <c r="H96" s="71" t="s">
        <v>84</v>
      </c>
      <c r="I96" s="71" t="s">
        <v>84</v>
      </c>
      <c r="J96" s="71" t="s">
        <v>84</v>
      </c>
      <c r="K96" s="109"/>
      <c r="L96" s="109"/>
      <c r="M96" s="109"/>
      <c r="N96" s="109"/>
      <c r="O96" s="109"/>
      <c r="P96" s="109"/>
    </row>
    <row r="97" spans="2:17" s="56" customFormat="1" ht="24.95" customHeight="1" thickTop="1" x14ac:dyDescent="0.25">
      <c r="B97" s="73"/>
      <c r="C97" s="110" t="s">
        <v>46</v>
      </c>
      <c r="D97" s="110" t="s">
        <v>85</v>
      </c>
      <c r="E97" s="110" t="s">
        <v>42</v>
      </c>
      <c r="F97" s="111" t="s">
        <v>101</v>
      </c>
      <c r="G97" s="111" t="s">
        <v>102</v>
      </c>
      <c r="H97" s="110" t="s">
        <v>88</v>
      </c>
      <c r="I97" s="110" t="s">
        <v>88</v>
      </c>
      <c r="J97" s="110" t="s">
        <v>88</v>
      </c>
      <c r="N97" s="74"/>
      <c r="O97" s="74"/>
      <c r="P97" s="74"/>
    </row>
    <row r="98" spans="2:17" s="1" customFormat="1" ht="60" customHeight="1" x14ac:dyDescent="0.25">
      <c r="B98" s="91"/>
      <c r="C98" s="56"/>
      <c r="D98" s="56"/>
      <c r="E98" s="56"/>
      <c r="F98" s="74"/>
      <c r="G98" s="74"/>
      <c r="H98" s="56"/>
      <c r="I98" s="6"/>
      <c r="J98" s="56"/>
      <c r="K98" s="6"/>
      <c r="L98" s="6"/>
      <c r="M98" s="6"/>
      <c r="N98" s="6"/>
      <c r="O98" s="6"/>
      <c r="P98" s="6"/>
    </row>
    <row r="99" spans="2:17" s="1" customFormat="1" ht="20.100000000000001" customHeight="1" x14ac:dyDescent="0.25">
      <c r="B99" s="75" t="s">
        <v>89</v>
      </c>
      <c r="C99" s="76">
        <f>C79/(2*PI())</f>
        <v>5.1904017028161055E-3</v>
      </c>
      <c r="D99" s="76">
        <f>H99/C8^2</f>
        <v>6.7772653123120677E-41</v>
      </c>
      <c r="E99" s="76">
        <f>E79/(2*PI())</f>
        <v>1.7313316477148016E-11</v>
      </c>
      <c r="F99" s="77">
        <f>F79*2*PI()</f>
        <v>57759008871.576271</v>
      </c>
      <c r="G99" s="112">
        <f>F99/C8</f>
        <v>192.66331533789375</v>
      </c>
      <c r="H99" s="76">
        <f>C10*F99</f>
        <v>6.0911022971138662E-24</v>
      </c>
      <c r="I99" s="76">
        <f>C10*C8/C99</f>
        <v>6.0911022971138662E-24</v>
      </c>
      <c r="J99" s="76">
        <f>C10*C8*G99</f>
        <v>6.0911022971138662E-24</v>
      </c>
      <c r="K99" s="6"/>
      <c r="L99" s="6"/>
      <c r="M99" s="6"/>
      <c r="N99" s="6"/>
      <c r="O99" s="6"/>
      <c r="P99" s="6"/>
    </row>
    <row r="100" spans="2:17" s="1" customFormat="1" ht="20.100000000000001" customHeight="1" x14ac:dyDescent="0.25">
      <c r="B100" s="75"/>
      <c r="C100" s="80"/>
      <c r="D100" s="80"/>
      <c r="E100" s="80"/>
      <c r="F100" s="81"/>
      <c r="G100" s="82"/>
      <c r="H100" s="80"/>
      <c r="I100" s="80"/>
      <c r="J100" s="80"/>
      <c r="K100" s="6"/>
      <c r="L100" s="6"/>
      <c r="M100" s="6"/>
      <c r="N100" s="6"/>
      <c r="O100" s="6"/>
      <c r="P100" s="6"/>
    </row>
    <row r="101" spans="2:17" s="1" customFormat="1" ht="60" customHeight="1" x14ac:dyDescent="0.25">
      <c r="B101" s="91"/>
      <c r="G101" s="6"/>
      <c r="I101" s="6"/>
      <c r="J101" s="27"/>
      <c r="K101" s="6"/>
      <c r="L101" s="6"/>
      <c r="M101" s="6"/>
      <c r="N101" s="6"/>
      <c r="O101" s="6"/>
      <c r="P101" s="6"/>
    </row>
    <row r="102" spans="2:17" s="1" customFormat="1" ht="20.100000000000001" customHeight="1" x14ac:dyDescent="0.25">
      <c r="B102" s="75" t="s">
        <v>89</v>
      </c>
      <c r="C102" s="85">
        <f>(C3/D99)*C2</f>
        <v>5.1904008070623167E-3</v>
      </c>
      <c r="D102" s="85">
        <f>(C2/C99)*C3</f>
        <v>6.777264142699111E-41</v>
      </c>
      <c r="E102" s="85">
        <f>(C99/C2)*C4</f>
        <v>1.7313318510446819E-11</v>
      </c>
      <c r="F102" s="86"/>
      <c r="G102" s="87">
        <f>(C4/E99)*(1/C2)</f>
        <v>192.66333796452849</v>
      </c>
      <c r="H102" s="85">
        <f>(C2/C99)*C6</f>
        <v>6.0911012459181644E-24</v>
      </c>
      <c r="I102" s="85">
        <f>(D99/C3)*C6</f>
        <v>6.0911022971138669E-24</v>
      </c>
      <c r="J102" s="85">
        <f>(C4/E99)*C6</f>
        <v>6.0911019612651568E-24</v>
      </c>
      <c r="K102" s="6"/>
      <c r="L102" s="6"/>
      <c r="M102" s="6"/>
      <c r="N102" s="6"/>
      <c r="O102" s="6"/>
      <c r="P102" s="6"/>
    </row>
    <row r="103" spans="2:17" s="1" customFormat="1" ht="20.100000000000001" customHeight="1" x14ac:dyDescent="0.25">
      <c r="B103" s="75"/>
      <c r="C103" s="85">
        <f>(E99/C4)*C2</f>
        <v>5.1904010932485312E-3</v>
      </c>
      <c r="D103" s="85">
        <f>(C4/E99)*C3</f>
        <v>6.7772649386299822E-41</v>
      </c>
      <c r="E103" s="85">
        <f>(C3/D99)*C4</f>
        <v>1.7313315522533447E-11</v>
      </c>
      <c r="F103" s="86"/>
      <c r="G103" s="87"/>
      <c r="H103" s="85"/>
      <c r="I103" s="85"/>
      <c r="J103" s="85"/>
      <c r="K103" s="6"/>
      <c r="L103" s="6"/>
      <c r="M103" s="6"/>
      <c r="N103" s="6"/>
      <c r="O103" s="6"/>
      <c r="P103" s="6"/>
    </row>
    <row r="104" spans="2:17" s="1" customFormat="1" ht="20.100000000000001" customHeight="1" x14ac:dyDescent="0.25">
      <c r="B104" s="75"/>
      <c r="C104" s="88"/>
      <c r="D104" s="88"/>
      <c r="E104" s="88"/>
      <c r="F104" s="89"/>
      <c r="G104" s="90"/>
      <c r="H104" s="88"/>
      <c r="I104" s="88"/>
      <c r="J104" s="88"/>
      <c r="K104" s="6"/>
      <c r="L104" s="6"/>
      <c r="M104" s="6"/>
      <c r="N104" s="6"/>
      <c r="O104" s="6"/>
      <c r="P104" s="6"/>
    </row>
    <row r="105" spans="2:17" s="1" customFormat="1" ht="60" customHeight="1" x14ac:dyDescent="0.25">
      <c r="B105" s="91"/>
      <c r="D105" s="103"/>
      <c r="E105" s="11"/>
      <c r="F105" s="83"/>
      <c r="G105" s="6"/>
      <c r="H105" s="83"/>
      <c r="I105" s="12"/>
      <c r="J105" s="12"/>
      <c r="K105" s="6"/>
      <c r="L105" s="6"/>
      <c r="M105" s="6"/>
      <c r="N105" s="6"/>
      <c r="O105" s="6"/>
      <c r="P105" s="6"/>
    </row>
    <row r="106" spans="2:17" s="95" customFormat="1" ht="20.100000000000001" customHeight="1" thickBot="1" x14ac:dyDescent="0.3">
      <c r="B106" s="94"/>
      <c r="C106" s="113" t="s">
        <v>48</v>
      </c>
      <c r="D106" s="114" t="s">
        <v>90</v>
      </c>
      <c r="E106" s="115" t="s">
        <v>44</v>
      </c>
      <c r="F106" s="113"/>
      <c r="G106" s="113"/>
      <c r="H106" s="113" t="s">
        <v>84</v>
      </c>
      <c r="I106" s="101"/>
      <c r="J106" s="113"/>
      <c r="K106" s="98"/>
      <c r="L106" s="98"/>
      <c r="M106" s="98"/>
      <c r="N106" s="98"/>
      <c r="O106" s="98"/>
      <c r="P106" s="98"/>
    </row>
    <row r="107" spans="2:17" s="1" customFormat="1" ht="20.100000000000001" customHeight="1" thickBot="1" x14ac:dyDescent="0.3">
      <c r="B107" s="99" t="s">
        <v>91</v>
      </c>
      <c r="C107" s="100">
        <f>C99/C2</f>
        <v>3.2113754963270681E+32</v>
      </c>
      <c r="D107" s="102">
        <f>D99/C3</f>
        <v>3.1139310047132456E-33</v>
      </c>
      <c r="E107" s="100">
        <f>E99/C4</f>
        <v>3.2113751191789237E+32</v>
      </c>
      <c r="F107" s="116"/>
      <c r="G107" s="117"/>
      <c r="H107" s="102">
        <f>H99/$C$6</f>
        <v>3.1139310047132456E-33</v>
      </c>
      <c r="I107" s="101"/>
      <c r="J107" s="101"/>
      <c r="K107" s="6"/>
      <c r="L107" s="6"/>
      <c r="M107" s="6"/>
      <c r="N107" s="6"/>
      <c r="O107" s="6"/>
      <c r="P107" s="6"/>
    </row>
    <row r="108" spans="2:17" s="1" customFormat="1" ht="20.100000000000001" customHeight="1" thickBot="1" x14ac:dyDescent="0.3">
      <c r="B108" s="104" t="s">
        <v>93</v>
      </c>
      <c r="C108" s="105">
        <f>1/C107</f>
        <v>3.1139304673144744E-33</v>
      </c>
      <c r="D108" s="100">
        <f>1/D107</f>
        <v>3.2113749421114343E+32</v>
      </c>
      <c r="E108" s="105">
        <f>1/E107</f>
        <v>3.1139308330185902E-33</v>
      </c>
      <c r="F108" s="105"/>
      <c r="G108" s="105"/>
      <c r="H108" s="100">
        <f>1/H107</f>
        <v>3.2113749421114343E+32</v>
      </c>
      <c r="I108" s="105"/>
      <c r="J108" s="105"/>
      <c r="K108" s="12"/>
      <c r="L108" s="6"/>
      <c r="M108" s="6"/>
      <c r="N108" s="6"/>
      <c r="O108" s="6"/>
      <c r="P108" s="6"/>
      <c r="Q108" s="6"/>
    </row>
    <row r="109" spans="2:17" s="1" customFormat="1" ht="20.100000000000001" customHeight="1" x14ac:dyDescent="0.25">
      <c r="B109" s="91"/>
      <c r="E109" s="11"/>
      <c r="F109" s="3"/>
      <c r="G109" s="3"/>
      <c r="H109" s="6"/>
      <c r="J109" s="6"/>
      <c r="K109" s="27"/>
      <c r="L109" s="6"/>
      <c r="M109" s="6"/>
      <c r="N109" s="6"/>
      <c r="O109" s="6"/>
      <c r="P109" s="6"/>
      <c r="Q109" s="6"/>
    </row>
    <row r="110" spans="2:17" s="1" customFormat="1" ht="20.100000000000001" customHeight="1" x14ac:dyDescent="0.25">
      <c r="B110" s="22"/>
      <c r="H110" s="6"/>
      <c r="J110" s="6"/>
      <c r="K110" s="27"/>
      <c r="L110" s="6"/>
      <c r="M110" s="6"/>
      <c r="N110" s="6"/>
      <c r="O110" s="6"/>
      <c r="P110" s="6"/>
      <c r="Q110" s="6"/>
    </row>
    <row r="111" spans="2:17" s="1" customFormat="1" ht="20.100000000000001" customHeight="1" x14ac:dyDescent="0.25">
      <c r="B111" s="22"/>
      <c r="H111" s="6"/>
      <c r="J111" s="6"/>
      <c r="K111" s="27"/>
      <c r="L111" s="6"/>
      <c r="M111" s="6"/>
      <c r="N111" s="6"/>
      <c r="O111" s="6"/>
      <c r="P111" s="6"/>
      <c r="Q111" s="6"/>
    </row>
    <row r="112" spans="2:17" s="1" customFormat="1" ht="20.100000000000001" customHeight="1" x14ac:dyDescent="0.25">
      <c r="B112" s="23" t="s">
        <v>103</v>
      </c>
      <c r="C112" s="3">
        <f>C107</f>
        <v>3.2113754963270681E+32</v>
      </c>
      <c r="H112" s="6"/>
      <c r="J112" s="6"/>
      <c r="K112" s="27"/>
      <c r="L112" s="6"/>
      <c r="M112" s="6"/>
      <c r="N112" s="6"/>
      <c r="O112" s="6"/>
      <c r="P112" s="6"/>
      <c r="Q112" s="6"/>
    </row>
    <row r="113" spans="2:17" s="1" customFormat="1" ht="20.100000000000001" customHeight="1" x14ac:dyDescent="0.25">
      <c r="B113" s="23" t="s">
        <v>104</v>
      </c>
      <c r="C113" s="3">
        <f>D108</f>
        <v>3.2113749421114343E+32</v>
      </c>
      <c r="H113" s="6"/>
      <c r="J113" s="6"/>
      <c r="K113" s="27"/>
      <c r="L113" s="6"/>
      <c r="M113" s="6"/>
      <c r="N113" s="6"/>
      <c r="O113" s="6"/>
      <c r="P113" s="6"/>
      <c r="Q113" s="6"/>
    </row>
    <row r="114" spans="2:17" s="1" customFormat="1" ht="20.100000000000001" customHeight="1" x14ac:dyDescent="0.25">
      <c r="B114" s="55" t="s">
        <v>105</v>
      </c>
      <c r="C114" s="3">
        <f>E107</f>
        <v>3.2113751191789237E+32</v>
      </c>
      <c r="H114" s="6"/>
      <c r="J114" s="6"/>
      <c r="K114" s="27"/>
      <c r="L114" s="6"/>
      <c r="M114" s="6"/>
      <c r="N114" s="6"/>
      <c r="O114" s="6"/>
      <c r="P114" s="6"/>
      <c r="Q114" s="6"/>
    </row>
    <row r="115" spans="2:17" s="1" customFormat="1" ht="20.100000000000001" customHeight="1" x14ac:dyDescent="0.25">
      <c r="B115" s="23" t="s">
        <v>106</v>
      </c>
      <c r="C115" s="3">
        <f>H108</f>
        <v>3.2113749421114343E+32</v>
      </c>
      <c r="G115" s="6"/>
      <c r="H115" s="6"/>
      <c r="J115" s="6"/>
      <c r="K115" s="27"/>
      <c r="L115" s="6"/>
      <c r="M115" s="6"/>
      <c r="N115" s="6"/>
      <c r="O115" s="6"/>
      <c r="P115" s="6"/>
      <c r="Q115" s="6"/>
    </row>
    <row r="116" spans="2:17" s="1" customFormat="1" ht="20.100000000000001" customHeight="1" x14ac:dyDescent="0.25">
      <c r="B116" s="22"/>
      <c r="H116" s="6"/>
      <c r="J116" s="6"/>
      <c r="K116" s="27"/>
      <c r="L116" s="6"/>
      <c r="M116" s="6"/>
      <c r="N116" s="6"/>
      <c r="O116" s="6"/>
      <c r="P116" s="6"/>
      <c r="Q116" s="6"/>
    </row>
    <row r="117" spans="2:17" s="1" customFormat="1" ht="20.100000000000001" customHeight="1" x14ac:dyDescent="0.25">
      <c r="D117" s="11"/>
      <c r="F117" s="6"/>
      <c r="G117" s="6"/>
      <c r="H117" s="27"/>
      <c r="I117" s="27"/>
      <c r="J117" s="6"/>
      <c r="K117" s="6"/>
      <c r="L117" s="6"/>
      <c r="M117" s="6"/>
      <c r="N117" s="6"/>
      <c r="O117" s="6"/>
    </row>
    <row r="118" spans="2:17" s="1" customFormat="1" ht="20.100000000000001" customHeight="1" x14ac:dyDescent="0.25">
      <c r="D118" s="11"/>
      <c r="F118" s="6"/>
      <c r="G118" s="6"/>
      <c r="H118" s="27"/>
      <c r="I118" s="27"/>
      <c r="J118" s="6"/>
      <c r="K118" s="6"/>
      <c r="L118" s="6"/>
      <c r="M118" s="6"/>
      <c r="N118" s="6"/>
      <c r="O118" s="6"/>
    </row>
    <row r="119" spans="2:17" s="1" customFormat="1" ht="20.100000000000001" customHeight="1" x14ac:dyDescent="0.25">
      <c r="B119" s="64" t="s">
        <v>107</v>
      </c>
      <c r="C119" s="62"/>
      <c r="D119" s="3"/>
      <c r="E119" s="46"/>
      <c r="F119" s="46"/>
      <c r="G119" s="6"/>
      <c r="H119" s="27"/>
      <c r="I119" s="27"/>
      <c r="J119" s="6"/>
      <c r="K119" s="6"/>
      <c r="L119" s="6"/>
      <c r="M119" s="6"/>
      <c r="N119" s="6"/>
      <c r="O119" s="6"/>
    </row>
    <row r="120" spans="2:17" s="1" customFormat="1" ht="39.950000000000003" customHeight="1" x14ac:dyDescent="0.25">
      <c r="B120" s="118" t="s">
        <v>108</v>
      </c>
      <c r="C120" s="119" t="s">
        <v>97</v>
      </c>
      <c r="D120" s="119" t="s">
        <v>46</v>
      </c>
      <c r="E120" s="120" t="s">
        <v>98</v>
      </c>
      <c r="F120" s="119" t="s">
        <v>84</v>
      </c>
      <c r="G120" s="6"/>
      <c r="H120" s="27"/>
      <c r="I120" s="27"/>
      <c r="J120" s="6"/>
      <c r="K120" s="6"/>
      <c r="L120" s="6"/>
      <c r="M120" s="6"/>
      <c r="N120" s="6"/>
      <c r="O120" s="6"/>
    </row>
    <row r="121" spans="2:17" s="53" customFormat="1" ht="30" customHeight="1" x14ac:dyDescent="0.25">
      <c r="B121" s="121" t="s">
        <v>109</v>
      </c>
      <c r="C121" s="53" t="s">
        <v>110</v>
      </c>
      <c r="D121" s="122" t="s">
        <v>111</v>
      </c>
      <c r="E121" s="53" t="s">
        <v>112</v>
      </c>
      <c r="F121" s="123" t="s">
        <v>113</v>
      </c>
      <c r="G121" s="123"/>
      <c r="H121" s="124"/>
      <c r="I121" s="124"/>
      <c r="J121" s="123"/>
      <c r="K121" s="123"/>
      <c r="L121" s="123"/>
      <c r="M121" s="123"/>
      <c r="N121" s="123"/>
      <c r="O121" s="123"/>
    </row>
    <row r="122" spans="2:17" s="1" customFormat="1" ht="30" customHeight="1" x14ac:dyDescent="0.25">
      <c r="B122" s="125"/>
      <c r="C122" s="126">
        <f>C99</f>
        <v>5.1904017028161055E-3</v>
      </c>
      <c r="D122" s="126">
        <f>D99</f>
        <v>6.7772653123120677E-41</v>
      </c>
      <c r="E122" s="126">
        <f>E99</f>
        <v>1.7313316477148016E-11</v>
      </c>
      <c r="F122" s="126">
        <f>H99</f>
        <v>6.0911022971138662E-24</v>
      </c>
      <c r="G122" s="6"/>
      <c r="H122" s="27"/>
      <c r="I122" s="27"/>
      <c r="J122" s="6"/>
      <c r="K122" s="6"/>
      <c r="L122" s="6"/>
      <c r="M122" s="6"/>
      <c r="N122" s="6"/>
      <c r="O122" s="6"/>
    </row>
    <row r="123" spans="2:17" s="1" customFormat="1" ht="30" customHeight="1" x14ac:dyDescent="0.25">
      <c r="B123" s="127" t="s">
        <v>114</v>
      </c>
      <c r="C123" s="53" t="s">
        <v>115</v>
      </c>
      <c r="D123" s="122" t="s">
        <v>116</v>
      </c>
      <c r="E123" s="53" t="s">
        <v>117</v>
      </c>
      <c r="F123" s="123" t="s">
        <v>118</v>
      </c>
      <c r="G123" s="6"/>
      <c r="H123" s="27"/>
      <c r="I123" s="27"/>
      <c r="J123" s="6"/>
      <c r="K123" s="6"/>
      <c r="L123" s="6"/>
      <c r="M123" s="6"/>
      <c r="N123" s="6"/>
      <c r="O123" s="6"/>
    </row>
    <row r="124" spans="2:17" s="1" customFormat="1" ht="30" customHeight="1" x14ac:dyDescent="0.25">
      <c r="B124" s="125"/>
      <c r="C124" s="20">
        <f>C122/C2</f>
        <v>3.2113754963270681E+32</v>
      </c>
      <c r="D124" s="20">
        <f>D122/C3</f>
        <v>3.1139310047132456E-33</v>
      </c>
      <c r="E124" s="20">
        <f>E122/C4</f>
        <v>3.2113751191789237E+32</v>
      </c>
      <c r="F124" s="20">
        <f>F122/C6</f>
        <v>3.1139310047132456E-33</v>
      </c>
      <c r="G124" s="6"/>
      <c r="H124" s="27"/>
      <c r="I124" s="27"/>
      <c r="J124" s="6"/>
      <c r="K124" s="6"/>
      <c r="L124" s="6"/>
      <c r="M124" s="6"/>
      <c r="N124" s="6"/>
      <c r="O124" s="6"/>
    </row>
    <row r="125" spans="2:17" s="1" customFormat="1" ht="20.100000000000001" customHeight="1" x14ac:dyDescent="0.25">
      <c r="B125" s="2"/>
      <c r="D125" s="11"/>
      <c r="F125" s="6"/>
      <c r="G125" s="6"/>
      <c r="H125" s="27"/>
      <c r="I125" s="27"/>
      <c r="J125" s="6"/>
      <c r="K125" s="6"/>
      <c r="L125" s="6"/>
      <c r="M125" s="6"/>
      <c r="N125" s="6"/>
      <c r="O125" s="6"/>
    </row>
    <row r="126" spans="2:17" s="1" customFormat="1" ht="20.100000000000001" customHeight="1" x14ac:dyDescent="0.25">
      <c r="B126" s="2"/>
      <c r="D126" s="11"/>
      <c r="F126" s="6"/>
      <c r="G126" s="6"/>
      <c r="H126" s="27"/>
      <c r="I126" s="27"/>
      <c r="J126" s="6"/>
      <c r="K126" s="6"/>
      <c r="L126" s="6"/>
      <c r="M126" s="6"/>
      <c r="N126" s="6"/>
      <c r="O126" s="6"/>
    </row>
    <row r="127" spans="2:17" s="1" customFormat="1" ht="20.100000000000001" customHeight="1" x14ac:dyDescent="0.25">
      <c r="B127" s="23" t="s">
        <v>84</v>
      </c>
      <c r="C127" s="3">
        <f>(D107*C3)*((C107*C2)/(E107*C4))*((C107*C2)/(E107*C4))</f>
        <v>6.0911022971138706E-24</v>
      </c>
      <c r="D127" s="11"/>
      <c r="F127" s="6"/>
      <c r="G127" s="6"/>
      <c r="H127" s="27"/>
      <c r="I127" s="27"/>
      <c r="J127" s="6"/>
      <c r="K127" s="6"/>
      <c r="L127" s="6"/>
      <c r="M127" s="6"/>
      <c r="N127" s="6"/>
      <c r="O127" s="6"/>
    </row>
    <row r="128" spans="2:17" s="1" customFormat="1" ht="20.100000000000001" customHeight="1" x14ac:dyDescent="0.25">
      <c r="B128" s="23" t="s">
        <v>84</v>
      </c>
      <c r="C128" s="3">
        <f>H107*C6</f>
        <v>6.0911022971138669E-24</v>
      </c>
      <c r="D128" s="11"/>
      <c r="F128" s="6"/>
      <c r="G128" s="6"/>
      <c r="H128" s="27"/>
      <c r="I128" s="27"/>
      <c r="J128" s="6"/>
      <c r="K128" s="6"/>
      <c r="L128" s="6"/>
      <c r="M128" s="6"/>
      <c r="N128" s="6"/>
      <c r="O128" s="6"/>
    </row>
    <row r="129" spans="2:15" s="1" customFormat="1" ht="20.100000000000001" customHeight="1" x14ac:dyDescent="0.25">
      <c r="B129" s="2"/>
      <c r="D129" s="11"/>
      <c r="F129" s="6"/>
      <c r="G129" s="6"/>
      <c r="H129" s="27"/>
      <c r="I129" s="27"/>
      <c r="J129" s="6"/>
      <c r="K129" s="6"/>
      <c r="L129" s="6"/>
      <c r="M129" s="6"/>
      <c r="N129" s="6"/>
      <c r="O129" s="6"/>
    </row>
    <row r="130" spans="2:15" s="1" customFormat="1" ht="20.100000000000001" customHeight="1" x14ac:dyDescent="0.25">
      <c r="B130" s="55" t="s">
        <v>46</v>
      </c>
      <c r="C130" s="8">
        <f>1/C135</f>
        <v>6.7772653123120687E-41</v>
      </c>
      <c r="D130" s="11"/>
      <c r="F130" s="6"/>
      <c r="G130" s="6"/>
      <c r="H130" s="27"/>
      <c r="I130" s="27"/>
      <c r="J130" s="6"/>
      <c r="K130" s="6"/>
      <c r="L130" s="6"/>
      <c r="M130" s="6"/>
      <c r="N130" s="6"/>
      <c r="O130" s="6"/>
    </row>
    <row r="131" spans="2:15" s="1" customFormat="1" ht="20.100000000000001" customHeight="1" x14ac:dyDescent="0.25">
      <c r="B131" s="60" t="s">
        <v>119</v>
      </c>
      <c r="C131" s="8">
        <f>1/D79</f>
        <v>1.4755213997352709E+40</v>
      </c>
      <c r="D131" s="11"/>
      <c r="F131" s="6"/>
      <c r="G131" s="6"/>
      <c r="H131" s="27"/>
      <c r="I131" s="27"/>
      <c r="J131" s="6"/>
      <c r="K131" s="6"/>
      <c r="L131" s="6"/>
      <c r="M131" s="6"/>
      <c r="N131" s="6"/>
      <c r="O131" s="6"/>
    </row>
    <row r="132" spans="2:15" s="1" customFormat="1" ht="20.100000000000001" customHeight="1" x14ac:dyDescent="0.25">
      <c r="D132" s="11"/>
      <c r="F132" s="6"/>
      <c r="G132" s="6"/>
      <c r="H132" s="27"/>
      <c r="I132" s="27"/>
      <c r="J132" s="6"/>
      <c r="K132" s="6"/>
      <c r="L132" s="6"/>
      <c r="M132" s="6"/>
      <c r="N132" s="6"/>
      <c r="O132" s="6"/>
    </row>
    <row r="133" spans="2:15" s="1" customFormat="1" ht="20.100000000000001" customHeight="1" x14ac:dyDescent="0.25">
      <c r="B133" s="60" t="s">
        <v>120</v>
      </c>
      <c r="C133" s="3">
        <f>D108</f>
        <v>3.2113749421114343E+32</v>
      </c>
      <c r="D133" s="11"/>
      <c r="F133" s="6"/>
      <c r="G133" s="6"/>
      <c r="H133" s="27"/>
      <c r="I133" s="27"/>
      <c r="J133" s="6"/>
      <c r="K133" s="6"/>
      <c r="L133" s="6"/>
      <c r="M133" s="6"/>
      <c r="N133" s="6"/>
      <c r="O133" s="6"/>
    </row>
    <row r="134" spans="2:15" s="1" customFormat="1" ht="20.100000000000001" customHeight="1" x14ac:dyDescent="0.25">
      <c r="B134" s="128" t="s">
        <v>121</v>
      </c>
      <c r="C134" s="20">
        <f>1/C3</f>
        <v>45946718.347535461</v>
      </c>
      <c r="D134" s="11"/>
      <c r="F134" s="6"/>
      <c r="G134" s="6"/>
      <c r="H134" s="27"/>
      <c r="I134" s="27"/>
      <c r="J134" s="6"/>
      <c r="K134" s="6"/>
      <c r="L134" s="6"/>
      <c r="M134" s="6"/>
      <c r="N134" s="6"/>
      <c r="O134" s="6"/>
    </row>
    <row r="135" spans="2:15" s="1" customFormat="1" ht="20.100000000000001" customHeight="1" x14ac:dyDescent="0.25">
      <c r="B135" s="128" t="s">
        <v>122</v>
      </c>
      <c r="C135" s="8">
        <f>C133*C134</f>
        <v>1.4755213997352707E+40</v>
      </c>
      <c r="D135" s="11"/>
      <c r="E135" s="129"/>
      <c r="F135" s="6"/>
      <c r="G135" s="6"/>
      <c r="H135" s="27"/>
      <c r="I135" s="27"/>
      <c r="J135" s="6"/>
      <c r="K135" s="6"/>
      <c r="L135" s="6"/>
      <c r="M135" s="6"/>
      <c r="N135" s="6"/>
      <c r="O135" s="6"/>
    </row>
    <row r="136" spans="2:15" s="1" customFormat="1" ht="20.100000000000001" customHeight="1" x14ac:dyDescent="0.25">
      <c r="D136" s="11"/>
      <c r="F136" s="6"/>
      <c r="G136" s="6"/>
      <c r="H136" s="27"/>
      <c r="I136" s="27"/>
      <c r="J136" s="6"/>
      <c r="K136" s="6"/>
      <c r="L136" s="6"/>
      <c r="M136" s="6"/>
      <c r="N136" s="6"/>
      <c r="O136" s="6"/>
    </row>
    <row r="137" spans="2:15" s="1" customFormat="1" ht="20.100000000000001" customHeight="1" x14ac:dyDescent="0.25">
      <c r="B137" s="55"/>
      <c r="C137" s="8"/>
      <c r="D137" s="11"/>
      <c r="F137" s="6"/>
      <c r="G137" s="6"/>
      <c r="H137" s="27"/>
      <c r="I137" s="27"/>
      <c r="J137" s="6"/>
      <c r="K137" s="6"/>
      <c r="L137" s="6"/>
      <c r="M137" s="6"/>
      <c r="N137" s="6"/>
      <c r="O137" s="6"/>
    </row>
    <row r="138" spans="2:15" s="1" customFormat="1" ht="20.100000000000001" customHeight="1" x14ac:dyDescent="0.35">
      <c r="B138" s="130" t="s">
        <v>123</v>
      </c>
      <c r="C138" s="8">
        <f>(C9*I7)/C8^2</f>
        <v>6.7772653123120677E-41</v>
      </c>
      <c r="D138" s="24">
        <v>1</v>
      </c>
      <c r="F138" s="6"/>
      <c r="G138" s="6"/>
      <c r="H138" s="27"/>
      <c r="I138" s="27"/>
      <c r="J138" s="6"/>
      <c r="K138" s="6"/>
      <c r="L138" s="6"/>
      <c r="M138" s="6"/>
      <c r="N138" s="6"/>
      <c r="O138" s="6"/>
    </row>
    <row r="139" spans="2:15" s="1" customFormat="1" ht="20.100000000000001" customHeight="1" x14ac:dyDescent="0.35">
      <c r="B139" s="49" t="s">
        <v>124</v>
      </c>
      <c r="C139" s="3">
        <f>2*PI()*C3*C4*I7</f>
        <v>6.7772649386299812E-41</v>
      </c>
      <c r="D139" s="24">
        <f>C139/C138</f>
        <v>0.99999994486240851</v>
      </c>
      <c r="F139" s="6"/>
      <c r="G139" s="6"/>
      <c r="H139" s="27"/>
      <c r="I139" s="27"/>
      <c r="J139" s="6"/>
      <c r="K139" s="6"/>
      <c r="L139" s="6"/>
      <c r="M139" s="6"/>
      <c r="N139" s="6"/>
      <c r="O139" s="6"/>
    </row>
    <row r="140" spans="2:15" s="1" customFormat="1" ht="20.100000000000001" customHeight="1" x14ac:dyDescent="0.35">
      <c r="B140" s="49" t="s">
        <v>125</v>
      </c>
      <c r="C140" s="3">
        <f>(C3*C4)/E99</f>
        <v>6.7772649386299822E-41</v>
      </c>
      <c r="D140" s="24">
        <f>C140/C138</f>
        <v>0.99999994486240862</v>
      </c>
      <c r="F140" s="6"/>
      <c r="G140" s="6"/>
      <c r="H140" s="27"/>
      <c r="I140" s="27"/>
      <c r="J140" s="6"/>
      <c r="K140" s="6"/>
      <c r="L140" s="6"/>
      <c r="M140" s="6"/>
      <c r="N140" s="6"/>
      <c r="O140" s="6"/>
    </row>
    <row r="141" spans="2:15" s="1" customFormat="1" ht="20.100000000000001" customHeight="1" x14ac:dyDescent="0.25">
      <c r="D141" s="11"/>
      <c r="F141" s="6"/>
      <c r="G141" s="6"/>
      <c r="H141" s="27"/>
      <c r="I141" s="27"/>
      <c r="J141" s="6"/>
      <c r="K141" s="6"/>
      <c r="L141" s="6"/>
      <c r="M141" s="6"/>
      <c r="N141" s="6"/>
      <c r="O141" s="6"/>
    </row>
    <row r="142" spans="2:15" s="1" customFormat="1" ht="20.100000000000001" customHeight="1" x14ac:dyDescent="0.25">
      <c r="D142" s="11"/>
      <c r="F142" s="6"/>
      <c r="G142" s="6"/>
      <c r="H142" s="27"/>
      <c r="I142" s="27"/>
      <c r="J142" s="6"/>
      <c r="K142" s="6"/>
      <c r="L142" s="6"/>
      <c r="M142" s="6"/>
      <c r="N142" s="6"/>
      <c r="O142" s="6"/>
    </row>
    <row r="143" spans="2:15" s="1" customFormat="1" ht="20.100000000000001" customHeight="1" x14ac:dyDescent="0.25">
      <c r="D143" s="11"/>
      <c r="F143" s="6"/>
      <c r="G143" s="6"/>
      <c r="H143" s="27"/>
      <c r="I143" s="27"/>
      <c r="J143" s="6"/>
      <c r="K143" s="6"/>
      <c r="L143" s="6"/>
      <c r="M143" s="6"/>
      <c r="N143" s="6"/>
      <c r="O143" s="6"/>
    </row>
    <row r="144" spans="2:15" s="1" customFormat="1" ht="20.100000000000001" customHeight="1" x14ac:dyDescent="0.25">
      <c r="B144" s="131"/>
      <c r="C144" s="18"/>
      <c r="D144" s="20"/>
      <c r="E144" s="132"/>
      <c r="F144" s="132"/>
      <c r="G144" s="132"/>
      <c r="H144" s="133"/>
      <c r="I144" s="133"/>
      <c r="J144" s="134"/>
      <c r="K144" s="134"/>
      <c r="L144" s="6"/>
      <c r="M144" s="6"/>
      <c r="N144" s="6"/>
      <c r="O144" s="6"/>
    </row>
    <row r="145" spans="1:16" s="1" customFormat="1" ht="20.100000000000001" customHeight="1" x14ac:dyDescent="0.25">
      <c r="B145" s="135" t="s">
        <v>126</v>
      </c>
      <c r="D145" s="3"/>
      <c r="E145" s="46"/>
      <c r="F145" s="46"/>
      <c r="G145" s="46"/>
      <c r="H145" s="27"/>
      <c r="I145" s="27"/>
      <c r="J145" s="6"/>
      <c r="K145" s="6"/>
      <c r="L145" s="6"/>
      <c r="M145" s="6"/>
      <c r="N145" s="6"/>
      <c r="O145" s="6"/>
    </row>
    <row r="146" spans="1:16" s="1" customFormat="1" ht="20.100000000000001" customHeight="1" x14ac:dyDescent="0.25">
      <c r="B146" s="60"/>
      <c r="C146" s="53"/>
      <c r="D146" s="3"/>
      <c r="E146" s="46"/>
      <c r="F146" s="46"/>
      <c r="G146" s="46"/>
      <c r="H146" s="27"/>
      <c r="I146" s="27"/>
      <c r="J146" s="6"/>
      <c r="K146" s="6"/>
      <c r="L146" s="6"/>
      <c r="M146" s="6"/>
      <c r="N146" s="6"/>
      <c r="O146" s="6"/>
    </row>
    <row r="147" spans="1:16" s="1" customFormat="1" ht="20.100000000000001" customHeight="1" x14ac:dyDescent="0.25">
      <c r="B147" s="18"/>
      <c r="C147" s="136"/>
      <c r="D147" s="20"/>
      <c r="E147" s="132"/>
      <c r="F147" s="46"/>
      <c r="G147" s="46"/>
      <c r="H147" s="27"/>
      <c r="I147" s="27"/>
      <c r="J147" s="6"/>
      <c r="K147" s="6"/>
      <c r="L147" s="6"/>
      <c r="M147" s="6"/>
      <c r="N147" s="6"/>
      <c r="O147" s="6"/>
    </row>
    <row r="148" spans="1:16" s="1" customFormat="1" ht="20.100000000000001" customHeight="1" x14ac:dyDescent="0.25">
      <c r="B148" s="137" t="s">
        <v>127</v>
      </c>
      <c r="C148" s="62"/>
      <c r="D148" s="3"/>
      <c r="E148" s="46"/>
      <c r="F148" s="46"/>
      <c r="G148" s="46"/>
      <c r="H148" s="27"/>
      <c r="I148" s="27"/>
      <c r="J148" s="6"/>
      <c r="K148" s="6"/>
      <c r="L148" s="6"/>
      <c r="M148" s="6"/>
      <c r="N148" s="6"/>
      <c r="O148" s="6"/>
    </row>
    <row r="149" spans="1:16" s="1" customFormat="1" ht="20.100000000000001" customHeight="1" x14ac:dyDescent="0.25">
      <c r="B149" s="60"/>
      <c r="C149" s="62"/>
      <c r="D149" s="3"/>
      <c r="E149" s="46"/>
      <c r="F149" s="46"/>
      <c r="G149" s="46"/>
      <c r="H149" s="27"/>
      <c r="I149" s="27"/>
      <c r="J149" s="6"/>
      <c r="K149" s="6"/>
      <c r="L149" s="6"/>
      <c r="M149" s="6"/>
      <c r="N149" s="6"/>
      <c r="O149" s="6"/>
    </row>
    <row r="150" spans="1:16" s="1" customFormat="1" ht="20.100000000000001" customHeight="1" x14ac:dyDescent="0.25">
      <c r="B150" s="60"/>
      <c r="D150" s="3"/>
      <c r="E150" s="46"/>
      <c r="F150" s="46"/>
      <c r="G150" s="46"/>
      <c r="H150" s="27"/>
      <c r="I150" s="27"/>
      <c r="J150" s="6"/>
      <c r="K150" s="6"/>
      <c r="L150" s="6"/>
      <c r="M150" s="6"/>
      <c r="N150" s="6"/>
      <c r="O150" s="6"/>
    </row>
    <row r="151" spans="1:16" s="1" customFormat="1" ht="20.100000000000001" customHeight="1" x14ac:dyDescent="0.25">
      <c r="B151" s="64" t="s">
        <v>128</v>
      </c>
      <c r="C151" s="62"/>
      <c r="D151" s="3"/>
      <c r="E151" s="46"/>
      <c r="F151" s="46"/>
      <c r="G151" s="46"/>
      <c r="H151" s="27"/>
      <c r="I151" s="27"/>
      <c r="J151" s="6"/>
      <c r="K151" s="6"/>
      <c r="L151" s="6"/>
      <c r="M151" s="6"/>
      <c r="N151" s="6"/>
      <c r="O151" s="6"/>
    </row>
    <row r="152" spans="1:16" s="1" customFormat="1" ht="39.950000000000003" customHeight="1" x14ac:dyDescent="0.25">
      <c r="A152" s="138"/>
      <c r="B152" s="118" t="s">
        <v>129</v>
      </c>
      <c r="C152" s="119" t="s">
        <v>130</v>
      </c>
      <c r="D152" s="119" t="s">
        <v>131</v>
      </c>
      <c r="E152" s="119" t="s">
        <v>132</v>
      </c>
      <c r="F152" s="119" t="s">
        <v>133</v>
      </c>
      <c r="G152" s="119" t="s">
        <v>134</v>
      </c>
      <c r="H152" s="119" t="s">
        <v>135</v>
      </c>
      <c r="J152" s="139" t="s">
        <v>130</v>
      </c>
      <c r="K152" s="139" t="s">
        <v>131</v>
      </c>
      <c r="L152" s="6"/>
      <c r="M152" s="6"/>
      <c r="N152" s="6"/>
      <c r="O152" s="6"/>
    </row>
    <row r="153" spans="1:16" s="56" customFormat="1" ht="28.5" customHeight="1" x14ac:dyDescent="0.25">
      <c r="B153" s="140"/>
      <c r="C153" s="74" t="s">
        <v>46</v>
      </c>
      <c r="D153" s="74" t="s">
        <v>85</v>
      </c>
      <c r="E153" s="56" t="s">
        <v>136</v>
      </c>
      <c r="F153" s="56" t="s">
        <v>136</v>
      </c>
      <c r="G153" s="141" t="s">
        <v>137</v>
      </c>
      <c r="H153" s="141" t="s">
        <v>90</v>
      </c>
      <c r="J153" s="142" t="s">
        <v>48</v>
      </c>
      <c r="K153" s="143" t="s">
        <v>90</v>
      </c>
      <c r="L153" s="74"/>
      <c r="M153" s="74"/>
      <c r="N153" s="74"/>
      <c r="O153" s="74"/>
    </row>
    <row r="154" spans="1:16" s="1" customFormat="1" ht="20.100000000000001" customHeight="1" x14ac:dyDescent="0.25">
      <c r="B154" s="52" t="s">
        <v>138</v>
      </c>
      <c r="C154" s="144">
        <f>F2</f>
        <v>3.8615926795999998E-13</v>
      </c>
      <c r="D154" s="144">
        <f>F3</f>
        <v>9.1093837015000008E-31</v>
      </c>
      <c r="E154" s="144">
        <f>C154*D154</f>
        <v>3.5176729417379952E-43</v>
      </c>
      <c r="F154" s="144">
        <f>$C$2*$C$3</f>
        <v>3.5176723346700002E-43</v>
      </c>
      <c r="G154" s="144">
        <f>$C$2/C154</f>
        <v>4.1854621502116031E-23</v>
      </c>
      <c r="H154" s="144">
        <f>D154/$C$3</f>
        <v>4.1854628725245059E-23</v>
      </c>
      <c r="J154" s="144">
        <f>C154/$C$2</f>
        <v>2.3892224182446457E+22</v>
      </c>
      <c r="K154" s="144">
        <f>D154/$C$3</f>
        <v>4.1854628725245059E-23</v>
      </c>
      <c r="L154" s="145"/>
      <c r="M154" s="145"/>
      <c r="N154" s="146"/>
      <c r="O154" s="146"/>
      <c r="P154" s="145"/>
    </row>
    <row r="155" spans="1:16" s="1" customFormat="1" ht="20.100000000000001" customHeight="1" x14ac:dyDescent="0.25">
      <c r="B155" s="147" t="s">
        <v>139</v>
      </c>
      <c r="C155" s="144">
        <f>F4</f>
        <v>1.867594306E-15</v>
      </c>
      <c r="D155" s="144">
        <f>F5</f>
        <v>1.8835316270000001E-28</v>
      </c>
      <c r="E155" s="144">
        <f>C155*D155</f>
        <v>3.5176729417561162E-43</v>
      </c>
      <c r="F155" s="144">
        <f>$C$2*$C$3</f>
        <v>3.5176723346700002E-43</v>
      </c>
      <c r="G155" s="144">
        <f>$C$2/C155</f>
        <v>8.6542082228858538E-21</v>
      </c>
      <c r="H155" s="144">
        <f>D155/$C$3</f>
        <v>8.6542097164444219E-21</v>
      </c>
      <c r="J155" s="144">
        <f>C155/$C$2</f>
        <v>1.1555072101865113E+20</v>
      </c>
      <c r="K155" s="144">
        <f>D155/$C$3</f>
        <v>8.6542097164444219E-21</v>
      </c>
      <c r="L155" s="145"/>
      <c r="M155" s="145"/>
      <c r="N155" s="145"/>
      <c r="O155" s="145"/>
      <c r="P155" s="145"/>
    </row>
    <row r="156" spans="1:16" s="1" customFormat="1" ht="20.100000000000001" customHeight="1" x14ac:dyDescent="0.25">
      <c r="B156" s="148" t="s">
        <v>98</v>
      </c>
      <c r="C156" s="149">
        <f>F6</f>
        <v>1.1105380000000001E-16</v>
      </c>
      <c r="D156" s="149">
        <f>F7</f>
        <v>3.1675399999999999E-27</v>
      </c>
      <c r="E156" s="149">
        <f>C156*D156</f>
        <v>3.5176735365200001E-43</v>
      </c>
      <c r="F156" s="149">
        <f>$C$2*$C$3</f>
        <v>3.5176723346700002E-43</v>
      </c>
      <c r="G156" s="149">
        <f>$C$2/C156</f>
        <v>1.4553801850994743E-19</v>
      </c>
      <c r="H156" s="149">
        <f>D156/$C$3</f>
        <v>1.4553806823455246E-19</v>
      </c>
      <c r="J156" s="144">
        <f>C156/$C$2</f>
        <v>6.8710568567459963E+18</v>
      </c>
      <c r="K156" s="144">
        <f>D156/$C$3</f>
        <v>1.4553806823455246E-19</v>
      </c>
      <c r="L156" s="145"/>
      <c r="M156" s="145"/>
      <c r="N156" s="145"/>
      <c r="O156" s="145"/>
      <c r="P156" s="145"/>
    </row>
    <row r="157" spans="1:16" s="1" customFormat="1" ht="20.100000000000001" customHeight="1" x14ac:dyDescent="0.25">
      <c r="B157" s="45"/>
      <c r="C157" s="150"/>
      <c r="D157" s="28"/>
      <c r="E157" s="28"/>
      <c r="F157" s="6"/>
      <c r="G157" s="6"/>
      <c r="H157" s="27"/>
      <c r="I157" s="27"/>
      <c r="J157" s="6"/>
      <c r="K157" s="6"/>
      <c r="L157" s="6"/>
      <c r="M157" s="6"/>
      <c r="N157" s="6"/>
      <c r="O157" s="6"/>
    </row>
    <row r="158" spans="1:16" s="1" customFormat="1" ht="20.100000000000001" customHeight="1" x14ac:dyDescent="0.25">
      <c r="B158" s="45"/>
      <c r="C158" s="46"/>
      <c r="D158" s="28"/>
      <c r="E158" s="28"/>
      <c r="F158" s="6"/>
      <c r="G158" s="6"/>
      <c r="H158" s="27"/>
      <c r="I158" s="27"/>
      <c r="J158" s="6"/>
      <c r="K158" s="6"/>
      <c r="L158" s="6"/>
      <c r="M158" s="6"/>
      <c r="N158" s="6"/>
      <c r="O158" s="6"/>
    </row>
    <row r="159" spans="1:16" s="1" customFormat="1" ht="20.100000000000001" customHeight="1" x14ac:dyDescent="0.25">
      <c r="B159" s="151" t="s">
        <v>140</v>
      </c>
      <c r="C159" s="4">
        <f>C10/C8</f>
        <v>3.5176729417461076E-43</v>
      </c>
      <c r="D159" s="152">
        <v>1</v>
      </c>
      <c r="E159" s="28"/>
      <c r="F159" s="6"/>
      <c r="G159" s="153"/>
      <c r="H159" s="27"/>
      <c r="I159" s="27"/>
      <c r="J159" s="6"/>
      <c r="K159" s="6"/>
      <c r="L159" s="6"/>
      <c r="M159" s="6"/>
      <c r="N159" s="6"/>
      <c r="O159" s="6"/>
    </row>
    <row r="160" spans="1:16" s="1" customFormat="1" ht="20.100000000000001" customHeight="1" x14ac:dyDescent="0.25">
      <c r="B160" s="154" t="s">
        <v>141</v>
      </c>
      <c r="C160" s="4">
        <f>F2*F3</f>
        <v>3.5176729417379952E-43</v>
      </c>
      <c r="D160" s="152">
        <f>C160/C159</f>
        <v>0.99999999999769384</v>
      </c>
      <c r="E160" s="28"/>
      <c r="F160" s="6"/>
      <c r="G160" s="153"/>
      <c r="H160" s="27"/>
      <c r="I160" s="27"/>
      <c r="J160" s="6"/>
      <c r="K160" s="6"/>
      <c r="L160" s="6"/>
      <c r="M160" s="6"/>
      <c r="N160" s="6"/>
      <c r="O160" s="6"/>
    </row>
    <row r="161" spans="2:15" s="1" customFormat="1" ht="20.100000000000001" customHeight="1" x14ac:dyDescent="0.25">
      <c r="B161" s="23" t="s">
        <v>142</v>
      </c>
      <c r="C161" s="3">
        <f>C2*C3</f>
        <v>3.5176723346700002E-43</v>
      </c>
      <c r="D161" s="155">
        <f>C161/C159</f>
        <v>0.99999982742110549</v>
      </c>
      <c r="E161" s="28"/>
      <c r="F161" s="6"/>
      <c r="G161" s="26"/>
      <c r="H161" s="27"/>
      <c r="I161" s="27"/>
      <c r="J161" s="6"/>
      <c r="K161" s="6"/>
      <c r="L161" s="6"/>
      <c r="M161" s="6"/>
      <c r="N161" s="6"/>
      <c r="O161" s="6"/>
    </row>
    <row r="162" spans="2:15" s="1" customFormat="1" ht="20.100000000000001" customHeight="1" x14ac:dyDescent="0.25">
      <c r="E162" s="28"/>
      <c r="F162" s="6"/>
      <c r="H162" s="27"/>
      <c r="I162" s="27"/>
      <c r="J162" s="6"/>
      <c r="K162" s="6"/>
      <c r="L162" s="6"/>
      <c r="M162" s="6"/>
      <c r="N162" s="6"/>
      <c r="O162" s="6"/>
    </row>
    <row r="163" spans="2:15" s="1" customFormat="1" ht="20.100000000000001" customHeight="1" x14ac:dyDescent="0.25">
      <c r="E163" s="28"/>
      <c r="F163" s="6"/>
      <c r="H163" s="27"/>
      <c r="I163" s="27"/>
      <c r="J163" s="6"/>
      <c r="K163" s="6"/>
      <c r="L163" s="6"/>
      <c r="M163" s="6"/>
      <c r="N163" s="6"/>
      <c r="O163" s="6"/>
    </row>
    <row r="164" spans="2:15" s="1" customFormat="1" ht="20.100000000000001" customHeight="1" x14ac:dyDescent="0.25">
      <c r="B164" s="151" t="s">
        <v>31</v>
      </c>
      <c r="C164" s="16">
        <f>C10</f>
        <v>1.0545718176461565E-34</v>
      </c>
      <c r="D164" s="152">
        <v>1</v>
      </c>
      <c r="E164" s="28"/>
      <c r="F164" s="6"/>
      <c r="G164" s="29"/>
      <c r="H164" s="27"/>
      <c r="I164" s="27"/>
      <c r="J164" s="6"/>
      <c r="K164" s="6"/>
      <c r="L164" s="6"/>
      <c r="M164" s="6"/>
      <c r="N164" s="6"/>
      <c r="O164" s="6"/>
    </row>
    <row r="165" spans="2:15" s="1" customFormat="1" ht="20.100000000000001" customHeight="1" x14ac:dyDescent="0.25">
      <c r="B165" s="154" t="s">
        <v>143</v>
      </c>
      <c r="C165" s="16">
        <f>F2*F3*C8</f>
        <v>1.0545718176437245E-34</v>
      </c>
      <c r="D165" s="152">
        <f>C165/C164</f>
        <v>0.99999999999769384</v>
      </c>
      <c r="E165" s="28"/>
      <c r="F165" s="6"/>
      <c r="G165" s="29"/>
      <c r="H165" s="27"/>
      <c r="I165" s="27"/>
      <c r="J165" s="6"/>
      <c r="K165" s="6"/>
      <c r="L165" s="6"/>
      <c r="M165" s="6"/>
      <c r="N165" s="6"/>
      <c r="O165" s="6"/>
    </row>
    <row r="166" spans="2:15" s="1" customFormat="1" ht="20.100000000000001" customHeight="1" x14ac:dyDescent="0.25">
      <c r="D166" s="28"/>
      <c r="E166" s="28"/>
      <c r="F166" s="6"/>
      <c r="H166" s="27"/>
      <c r="I166" s="27"/>
      <c r="J166" s="6"/>
      <c r="K166" s="6"/>
      <c r="L166" s="6"/>
      <c r="M166" s="6"/>
      <c r="N166" s="6"/>
      <c r="O166" s="6"/>
    </row>
    <row r="167" spans="2:15" s="1" customFormat="1" ht="20.100000000000001" customHeight="1" x14ac:dyDescent="0.25">
      <c r="B167" s="151"/>
      <c r="C167" s="4"/>
      <c r="D167" s="28"/>
      <c r="E167" s="28"/>
      <c r="F167" s="6"/>
      <c r="G167" s="156"/>
      <c r="H167" s="27"/>
      <c r="I167" s="27"/>
      <c r="J167" s="6"/>
      <c r="K167" s="6"/>
      <c r="L167" s="6"/>
      <c r="M167" s="6"/>
      <c r="N167" s="6"/>
      <c r="O167" s="6"/>
    </row>
    <row r="168" spans="2:15" s="1" customFormat="1" ht="20.100000000000001" customHeight="1" x14ac:dyDescent="0.25">
      <c r="B168" s="154" t="s">
        <v>144</v>
      </c>
      <c r="C168" s="3">
        <f>F2/C2</f>
        <v>2.3892224182446457E+22</v>
      </c>
      <c r="D168" s="28"/>
      <c r="E168" s="28"/>
      <c r="F168" s="6"/>
      <c r="G168" s="26"/>
      <c r="H168" s="27"/>
      <c r="I168" s="27"/>
      <c r="J168" s="6"/>
      <c r="K168" s="6"/>
      <c r="L168" s="6"/>
      <c r="M168" s="6"/>
      <c r="N168" s="6"/>
      <c r="O168" s="6"/>
    </row>
    <row r="169" spans="2:15" s="1" customFormat="1" ht="20.100000000000001" customHeight="1" x14ac:dyDescent="0.25">
      <c r="B169" s="154" t="s">
        <v>145</v>
      </c>
      <c r="C169" s="3">
        <f>C3/F3</f>
        <v>2.3892220059207921E+22</v>
      </c>
      <c r="D169" s="28"/>
      <c r="E169" s="28"/>
      <c r="F169" s="6"/>
      <c r="G169" s="26"/>
      <c r="H169" s="27"/>
      <c r="I169" s="27"/>
      <c r="J169" s="6"/>
      <c r="K169" s="6"/>
      <c r="L169" s="6"/>
      <c r="M169" s="6"/>
      <c r="N169" s="6"/>
      <c r="O169" s="6"/>
    </row>
    <row r="170" spans="2:15" s="1" customFormat="1" ht="20.100000000000001" customHeight="1" x14ac:dyDescent="0.25">
      <c r="B170" s="151"/>
      <c r="C170" s="3"/>
      <c r="D170" s="28"/>
      <c r="E170" s="28"/>
      <c r="F170" s="6"/>
      <c r="G170" s="26"/>
      <c r="H170" s="27"/>
      <c r="I170" s="27"/>
      <c r="J170" s="6"/>
      <c r="K170" s="6"/>
      <c r="L170" s="6"/>
      <c r="M170" s="6"/>
      <c r="N170" s="6"/>
      <c r="O170" s="6"/>
    </row>
    <row r="171" spans="2:15" s="1" customFormat="1" ht="20.100000000000001" customHeight="1" x14ac:dyDescent="0.25">
      <c r="B171" s="154" t="s">
        <v>146</v>
      </c>
      <c r="C171" s="3">
        <f>F4/C2</f>
        <v>1.1555072101865113E+20</v>
      </c>
      <c r="D171" s="28"/>
      <c r="E171" s="28"/>
      <c r="F171" s="6"/>
      <c r="G171" s="26"/>
      <c r="H171" s="27"/>
      <c r="I171" s="27"/>
      <c r="J171" s="6"/>
      <c r="K171" s="6"/>
      <c r="L171" s="6"/>
      <c r="M171" s="6"/>
      <c r="N171" s="6"/>
      <c r="O171" s="6"/>
    </row>
    <row r="172" spans="2:15" s="1" customFormat="1" ht="20.100000000000001" customHeight="1" x14ac:dyDescent="0.25">
      <c r="B172" s="154" t="s">
        <v>147</v>
      </c>
      <c r="C172" s="3">
        <f>C3/F5</f>
        <v>1.1555070107670669E+20</v>
      </c>
      <c r="D172" s="28"/>
      <c r="E172" s="28"/>
      <c r="F172" s="6"/>
      <c r="G172" s="26"/>
      <c r="H172" s="27"/>
      <c r="I172" s="27"/>
      <c r="J172" s="6"/>
      <c r="K172" s="6"/>
      <c r="L172" s="6"/>
      <c r="M172" s="6"/>
      <c r="N172" s="6"/>
      <c r="O172" s="6"/>
    </row>
    <row r="173" spans="2:15" s="1" customFormat="1" ht="20.100000000000001" customHeight="1" x14ac:dyDescent="0.25">
      <c r="B173" s="151"/>
      <c r="C173" s="3"/>
      <c r="D173" s="28"/>
      <c r="E173" s="28"/>
      <c r="F173" s="6"/>
      <c r="G173" s="26"/>
      <c r="H173" s="27"/>
      <c r="I173" s="27"/>
      <c r="J173" s="6"/>
      <c r="K173" s="6"/>
      <c r="L173" s="6"/>
      <c r="M173" s="6"/>
      <c r="N173" s="6"/>
      <c r="O173" s="6"/>
    </row>
    <row r="174" spans="2:15" s="1" customFormat="1" ht="20.100000000000001" customHeight="1" x14ac:dyDescent="0.25">
      <c r="B174" s="154" t="s">
        <v>148</v>
      </c>
      <c r="C174" s="157">
        <f>F6/C2</f>
        <v>6.8710568567459963E+18</v>
      </c>
      <c r="D174" s="144"/>
      <c r="E174" s="144"/>
      <c r="F174" s="6"/>
      <c r="G174" s="26"/>
      <c r="H174" s="27"/>
      <c r="I174" s="27"/>
      <c r="J174" s="6"/>
      <c r="K174" s="6"/>
      <c r="L174" s="6"/>
      <c r="M174" s="6"/>
      <c r="N174" s="6"/>
      <c r="O174" s="6"/>
    </row>
    <row r="175" spans="2:15" s="1" customFormat="1" ht="20.100000000000001" customHeight="1" x14ac:dyDescent="0.25">
      <c r="B175" s="154" t="s">
        <v>149</v>
      </c>
      <c r="C175" s="157">
        <f>C3/F7</f>
        <v>6.87105450917747E+18</v>
      </c>
      <c r="F175" s="6"/>
      <c r="G175" s="26"/>
      <c r="H175" s="27"/>
      <c r="I175" s="27"/>
      <c r="J175" s="6"/>
      <c r="K175" s="6"/>
      <c r="L175" s="6"/>
      <c r="M175" s="6"/>
      <c r="N175" s="6"/>
      <c r="O175" s="6"/>
    </row>
    <row r="176" spans="2:15" s="1" customFormat="1" ht="20.100000000000001" customHeight="1" x14ac:dyDescent="0.25">
      <c r="B176" s="151"/>
      <c r="C176" s="158"/>
      <c r="D176" s="158"/>
      <c r="E176" s="158"/>
      <c r="F176" s="6"/>
      <c r="G176" s="6"/>
      <c r="H176" s="27"/>
      <c r="I176" s="27"/>
      <c r="J176" s="6"/>
      <c r="K176" s="6"/>
      <c r="L176" s="6"/>
      <c r="M176" s="6"/>
      <c r="N176" s="6"/>
      <c r="O176" s="6"/>
    </row>
    <row r="177" spans="1:23" s="1" customFormat="1" ht="20.100000000000001" customHeight="1" x14ac:dyDescent="0.25">
      <c r="B177" s="151"/>
      <c r="C177" s="158"/>
      <c r="D177" s="158"/>
      <c r="E177" s="158"/>
      <c r="F177" s="6"/>
      <c r="G177" s="6"/>
      <c r="H177" s="27"/>
      <c r="I177" s="27"/>
      <c r="J177" s="6"/>
      <c r="K177" s="6"/>
      <c r="L177" s="6"/>
      <c r="M177" s="6"/>
      <c r="N177" s="6"/>
      <c r="O177" s="6"/>
    </row>
    <row r="178" spans="1:23" s="1" customFormat="1" ht="20.100000000000001" customHeight="1" x14ac:dyDescent="0.25">
      <c r="B178" s="159"/>
      <c r="C178" s="160"/>
      <c r="D178" s="160"/>
      <c r="E178" s="160"/>
      <c r="F178" s="6"/>
      <c r="G178" s="6"/>
      <c r="H178" s="27"/>
      <c r="I178" s="27"/>
      <c r="J178" s="6"/>
      <c r="K178" s="6"/>
      <c r="L178" s="6"/>
      <c r="M178" s="6"/>
      <c r="N178" s="6"/>
      <c r="O178" s="6"/>
    </row>
    <row r="179" spans="1:23" s="1" customFormat="1" ht="20.100000000000001" customHeight="1" x14ac:dyDescent="0.25">
      <c r="B179" s="161" t="s">
        <v>150</v>
      </c>
      <c r="C179" s="158"/>
      <c r="D179" s="158"/>
      <c r="E179" s="158"/>
      <c r="F179" s="6"/>
      <c r="G179" s="6"/>
      <c r="H179" s="27"/>
      <c r="I179" s="27"/>
      <c r="J179" s="6"/>
      <c r="K179" s="6"/>
      <c r="L179" s="6"/>
      <c r="M179" s="6"/>
      <c r="N179" s="6"/>
      <c r="O179" s="6"/>
    </row>
    <row r="180" spans="1:23" s="1" customFormat="1" ht="20.100000000000001" customHeight="1" x14ac:dyDescent="0.25">
      <c r="B180" s="151"/>
      <c r="C180" s="158"/>
      <c r="D180" s="158"/>
      <c r="E180" s="158"/>
      <c r="F180" s="6"/>
      <c r="G180" s="6"/>
      <c r="H180" s="27"/>
      <c r="I180" s="27"/>
      <c r="J180" s="6"/>
      <c r="K180" s="6"/>
      <c r="L180" s="6"/>
      <c r="M180" s="6"/>
      <c r="N180" s="6"/>
      <c r="O180" s="6"/>
    </row>
    <row r="181" spans="1:23" s="1" customFormat="1" ht="20.100000000000001" customHeight="1" x14ac:dyDescent="0.25">
      <c r="C181" s="158"/>
      <c r="D181" s="158"/>
      <c r="E181" s="158"/>
      <c r="F181" s="158"/>
      <c r="G181" s="158"/>
      <c r="H181" s="6"/>
      <c r="I181" s="6"/>
      <c r="J181" s="6"/>
      <c r="K181" s="27"/>
      <c r="L181" s="27"/>
      <c r="M181" s="6"/>
      <c r="N181" s="6"/>
      <c r="O181" s="6"/>
      <c r="P181" s="6"/>
      <c r="Q181" s="6"/>
      <c r="R181" s="6"/>
    </row>
    <row r="182" spans="1:23" s="1" customFormat="1" ht="20.100000000000001" customHeight="1" x14ac:dyDescent="0.25">
      <c r="B182" s="64" t="s">
        <v>151</v>
      </c>
      <c r="C182" s="6"/>
      <c r="D182" s="6"/>
      <c r="E182" s="6"/>
      <c r="F182" s="158"/>
      <c r="G182" s="6"/>
      <c r="H182" s="158"/>
      <c r="N182" s="158"/>
      <c r="O182" s="27"/>
      <c r="P182" s="6"/>
      <c r="Q182" s="6"/>
      <c r="R182" s="6"/>
      <c r="U182" s="6"/>
      <c r="V182" s="6"/>
    </row>
    <row r="183" spans="1:23" s="1" customFormat="1" ht="39.950000000000003" customHeight="1" x14ac:dyDescent="0.25">
      <c r="A183" s="138"/>
      <c r="B183" s="118" t="s">
        <v>152</v>
      </c>
      <c r="C183" s="119" t="s">
        <v>97</v>
      </c>
      <c r="D183" s="119" t="s">
        <v>153</v>
      </c>
      <c r="E183" s="119" t="s">
        <v>153</v>
      </c>
      <c r="F183" s="119" t="s">
        <v>46</v>
      </c>
      <c r="G183" s="118" t="s">
        <v>154</v>
      </c>
      <c r="H183" s="118" t="s">
        <v>155</v>
      </c>
      <c r="J183" s="139" t="s">
        <v>131</v>
      </c>
      <c r="K183" s="139" t="s">
        <v>156</v>
      </c>
      <c r="U183" s="6"/>
      <c r="V183" s="6"/>
      <c r="W183" s="6"/>
    </row>
    <row r="184" spans="1:23" s="164" customFormat="1" ht="60" customHeight="1" x14ac:dyDescent="0.25">
      <c r="A184" s="162"/>
      <c r="B184" s="163"/>
      <c r="C184" s="163"/>
      <c r="D184" s="163"/>
      <c r="E184" s="163"/>
      <c r="F184" s="163"/>
      <c r="G184" s="163"/>
      <c r="H184" s="163"/>
      <c r="J184" s="163"/>
      <c r="K184" s="163"/>
      <c r="U184" s="165"/>
      <c r="V184" s="165"/>
      <c r="W184" s="165"/>
    </row>
    <row r="185" spans="1:23" s="56" customFormat="1" ht="24.95" customHeight="1" x14ac:dyDescent="0.25">
      <c r="B185" s="140"/>
      <c r="C185" s="74" t="s">
        <v>46</v>
      </c>
      <c r="D185" s="74" t="s">
        <v>157</v>
      </c>
      <c r="E185" s="74" t="s">
        <v>157</v>
      </c>
      <c r="F185" s="74" t="s">
        <v>85</v>
      </c>
      <c r="G185" s="141" t="s">
        <v>158</v>
      </c>
      <c r="H185" s="123" t="s">
        <v>90</v>
      </c>
      <c r="J185" s="74" t="s">
        <v>85</v>
      </c>
      <c r="K185" s="74" t="s">
        <v>159</v>
      </c>
      <c r="U185" s="74"/>
      <c r="V185" s="74"/>
      <c r="W185" s="74"/>
    </row>
    <row r="186" spans="1:23" s="1" customFormat="1" ht="20.100000000000001" customHeight="1" x14ac:dyDescent="0.25">
      <c r="B186" s="166" t="s">
        <v>138</v>
      </c>
      <c r="C186" s="3">
        <f>$C$10/(J186*K186)</f>
        <v>5.1904017028161055E-3</v>
      </c>
      <c r="D186" s="3">
        <f>$C$10/C186</f>
        <v>2.0317730264961722E-32</v>
      </c>
      <c r="E186" s="3">
        <f>J186*K186</f>
        <v>2.0317730264961722E-32</v>
      </c>
      <c r="F186" s="3">
        <f>E186/$C$8</f>
        <v>6.7772653123120667E-41</v>
      </c>
      <c r="G186" s="3">
        <f>$C$2/C186</f>
        <v>3.1139304673144744E-33</v>
      </c>
      <c r="H186" s="3">
        <f>F186/$C$3</f>
        <v>3.1139310047132449E-33</v>
      </c>
      <c r="J186" s="167">
        <f>F3</f>
        <v>9.1093837015000008E-31</v>
      </c>
      <c r="K186" s="168">
        <f>$C$10/(J186*$C$99)</f>
        <v>2.2304176583994473E-2</v>
      </c>
      <c r="U186" s="6"/>
      <c r="V186" s="6"/>
      <c r="W186" s="6"/>
    </row>
    <row r="187" spans="1:23" s="1" customFormat="1" ht="20.100000000000001" customHeight="1" x14ac:dyDescent="0.25">
      <c r="B187" s="169" t="s">
        <v>139</v>
      </c>
      <c r="C187" s="3">
        <f>$C$10/(J187*K187)</f>
        <v>5.1904017028161047E-3</v>
      </c>
      <c r="D187" s="3">
        <f>$C$10/C187</f>
        <v>2.0317730264961727E-32</v>
      </c>
      <c r="E187" s="3">
        <f>J187*K187</f>
        <v>2.0317730264961724E-32</v>
      </c>
      <c r="F187" s="3">
        <f>E187/$C$8</f>
        <v>6.7772653123120677E-41</v>
      </c>
      <c r="G187" s="3">
        <f>$C$2/C187</f>
        <v>3.1139304673144751E-33</v>
      </c>
      <c r="H187" s="3">
        <f>F187/$C$3</f>
        <v>3.1139310047132456E-33</v>
      </c>
      <c r="J187" s="167">
        <f>F5</f>
        <v>1.8835316270000001E-28</v>
      </c>
      <c r="K187" s="168">
        <f>$C$10/(J187*$C$99)</f>
        <v>1.0787039608845242E-4</v>
      </c>
      <c r="U187" s="6"/>
      <c r="V187" s="6"/>
      <c r="W187" s="6"/>
    </row>
    <row r="188" spans="1:23" s="1" customFormat="1" ht="20.100000000000001" customHeight="1" x14ac:dyDescent="0.25">
      <c r="B188" s="169" t="s">
        <v>98</v>
      </c>
      <c r="C188" s="3">
        <f>$C$10/(J188*K188)</f>
        <v>5.1904017028161055E-3</v>
      </c>
      <c r="D188" s="3">
        <f>$C$10/C188</f>
        <v>2.0317730264961722E-32</v>
      </c>
      <c r="E188" s="3">
        <f>J188*K188</f>
        <v>2.0317730264961722E-32</v>
      </c>
      <c r="F188" s="3">
        <f>E188/$C$8</f>
        <v>6.7772653123120667E-41</v>
      </c>
      <c r="G188" s="3">
        <f>$C$2/C188</f>
        <v>3.1139304673144744E-33</v>
      </c>
      <c r="H188" s="3">
        <f>F188/$C$3</f>
        <v>3.1139310047132449E-33</v>
      </c>
      <c r="J188" s="167">
        <f>F7</f>
        <v>3.1675399999999999E-27</v>
      </c>
      <c r="K188" s="168">
        <f>$C$10/(J188*$C$99)</f>
        <v>6.4143563348724E-6</v>
      </c>
      <c r="U188" s="6"/>
      <c r="V188" s="6"/>
      <c r="W188" s="6"/>
    </row>
    <row r="189" spans="1:23" s="1" customFormat="1" ht="20.100000000000001" customHeight="1" x14ac:dyDescent="0.25">
      <c r="B189" s="170" t="s">
        <v>160</v>
      </c>
      <c r="C189" s="171">
        <f>C99</f>
        <v>5.1904017028161055E-3</v>
      </c>
      <c r="D189" s="20">
        <f>$C$10/C189</f>
        <v>2.0317730264961722E-32</v>
      </c>
      <c r="E189" s="20" t="s">
        <v>92</v>
      </c>
      <c r="F189" s="20">
        <f>D189/C8</f>
        <v>6.7772653123120667E-41</v>
      </c>
      <c r="G189" s="20">
        <f>$C$2/C189</f>
        <v>3.1139304673144744E-33</v>
      </c>
      <c r="H189" s="20">
        <f>F189/$C$3</f>
        <v>3.1139310047132449E-33</v>
      </c>
      <c r="J189" s="20" t="s">
        <v>92</v>
      </c>
      <c r="K189" s="172">
        <v>299792458</v>
      </c>
      <c r="U189" s="6"/>
      <c r="V189" s="6"/>
      <c r="W189" s="6"/>
    </row>
    <row r="190" spans="1:23" s="1" customFormat="1" ht="20.100000000000001" customHeight="1" x14ac:dyDescent="0.25">
      <c r="B190" s="45"/>
      <c r="C190" s="158"/>
      <c r="D190" s="158"/>
      <c r="E190" s="158"/>
      <c r="G190" s="158"/>
      <c r="N190" s="158"/>
      <c r="O190" s="6"/>
      <c r="P190" s="6"/>
      <c r="Q190" s="6"/>
      <c r="R190" s="6"/>
      <c r="U190" s="6"/>
      <c r="V190" s="6"/>
      <c r="W190" s="6"/>
    </row>
    <row r="191" spans="1:23" s="1" customFormat="1" ht="20.100000000000001" customHeight="1" x14ac:dyDescent="0.25">
      <c r="B191" s="45"/>
      <c r="C191" s="158"/>
      <c r="D191" s="158"/>
      <c r="E191" s="158"/>
      <c r="G191" s="158"/>
      <c r="N191" s="158"/>
      <c r="O191" s="6"/>
      <c r="P191" s="6"/>
      <c r="Q191" s="6"/>
      <c r="R191" s="6"/>
      <c r="U191" s="6"/>
      <c r="V191" s="6"/>
      <c r="W191" s="6"/>
    </row>
    <row r="192" spans="1:23" s="1" customFormat="1" ht="20.100000000000001" customHeight="1" x14ac:dyDescent="0.25">
      <c r="B192" s="45"/>
      <c r="C192" s="158"/>
      <c r="D192" s="158"/>
      <c r="E192" s="158"/>
      <c r="F192" s="158"/>
      <c r="G192" s="158"/>
      <c r="H192" s="158"/>
      <c r="L192" s="158"/>
      <c r="M192" s="158"/>
      <c r="N192" s="158"/>
      <c r="O192" s="6"/>
      <c r="P192" s="6"/>
      <c r="Q192" s="6"/>
      <c r="R192" s="6"/>
      <c r="U192" s="6"/>
      <c r="V192" s="6"/>
      <c r="W192" s="6"/>
    </row>
    <row r="193" spans="2:20" s="1" customFormat="1" ht="20.100000000000001" customHeight="1" x14ac:dyDescent="0.25">
      <c r="B193" s="45"/>
      <c r="C193" s="158"/>
      <c r="D193" s="158"/>
      <c r="E193" s="158"/>
      <c r="F193" s="158"/>
      <c r="G193" s="158"/>
      <c r="H193" s="6"/>
      <c r="J193" s="6"/>
      <c r="K193" s="6"/>
      <c r="L193" s="6"/>
      <c r="M193" s="27"/>
      <c r="N193" s="27"/>
      <c r="O193" s="6"/>
      <c r="P193" s="6"/>
      <c r="Q193" s="6"/>
      <c r="R193" s="6"/>
      <c r="S193" s="6"/>
      <c r="T193" s="6"/>
    </row>
    <row r="194" spans="2:20" ht="20.100000000000001" customHeight="1" x14ac:dyDescent="0.25">
      <c r="B194" s="173" t="s">
        <v>161</v>
      </c>
      <c r="J194" s="174"/>
      <c r="K194" s="174"/>
      <c r="L194" s="174"/>
    </row>
    <row r="195" spans="2:20" s="177" customFormat="1" ht="43.5" customHeight="1" x14ac:dyDescent="0.25">
      <c r="B195" s="118" t="s">
        <v>162</v>
      </c>
      <c r="C195" s="175" t="s">
        <v>97</v>
      </c>
      <c r="D195" s="175" t="s">
        <v>46</v>
      </c>
      <c r="E195" s="175" t="s">
        <v>156</v>
      </c>
      <c r="F195" s="176" t="s">
        <v>98</v>
      </c>
      <c r="G195" s="176" t="s">
        <v>99</v>
      </c>
      <c r="H195" s="175" t="s">
        <v>163</v>
      </c>
      <c r="J195" s="139" t="s">
        <v>164</v>
      </c>
      <c r="K195" s="139" t="s">
        <v>165</v>
      </c>
      <c r="L195" s="139" t="s">
        <v>84</v>
      </c>
      <c r="M195" s="139" t="s">
        <v>84</v>
      </c>
      <c r="N195" s="178"/>
      <c r="Q195" s="179"/>
    </row>
    <row r="196" spans="2:20" s="177" customFormat="1" ht="53.25" customHeight="1" x14ac:dyDescent="0.25">
      <c r="J196" s="53" t="s">
        <v>166</v>
      </c>
      <c r="K196" s="53" t="s">
        <v>166</v>
      </c>
    </row>
    <row r="197" spans="2:20" s="56" customFormat="1" ht="24.95" customHeight="1" x14ac:dyDescent="0.25">
      <c r="C197" s="56" t="s">
        <v>46</v>
      </c>
      <c r="D197" s="56" t="s">
        <v>85</v>
      </c>
      <c r="E197" s="56" t="s">
        <v>159</v>
      </c>
      <c r="F197" s="56" t="s">
        <v>42</v>
      </c>
      <c r="G197" s="56" t="s">
        <v>86</v>
      </c>
      <c r="H197" s="56" t="s">
        <v>167</v>
      </c>
      <c r="J197" s="56" t="s">
        <v>46</v>
      </c>
      <c r="K197" s="56" t="s">
        <v>85</v>
      </c>
      <c r="L197" s="56" t="s">
        <v>168</v>
      </c>
      <c r="M197" s="56" t="s">
        <v>168</v>
      </c>
      <c r="N197" s="56" t="s">
        <v>168</v>
      </c>
    </row>
    <row r="198" spans="2:20" ht="20.100000000000001" customHeight="1" x14ac:dyDescent="0.35">
      <c r="B198" s="180" t="s">
        <v>169</v>
      </c>
      <c r="C198" s="3">
        <f>J198</f>
        <v>3.8615926795999998E-13</v>
      </c>
      <c r="D198" s="3">
        <f>(K198*E198)/C8</f>
        <v>9.1093837015210098E-31</v>
      </c>
      <c r="E198" s="12">
        <f>C10/(K198*C198)</f>
        <v>299792458.00069141</v>
      </c>
      <c r="F198" s="3">
        <f>C198/E198</f>
        <v>1.2880886681916107E-21</v>
      </c>
      <c r="G198" s="3">
        <f>1/F198</f>
        <v>7.7634407063291088E+20</v>
      </c>
      <c r="H198" s="181">
        <f>L198/$I$3</f>
        <v>255499.47499926062</v>
      </c>
      <c r="J198" s="167">
        <f>F2</f>
        <v>3.8615926795999998E-13</v>
      </c>
      <c r="K198" s="167">
        <f>F3</f>
        <v>9.1093837015000008E-31</v>
      </c>
      <c r="L198" s="3">
        <f>0.5*K198*E198^2</f>
        <v>4.0935528884308251E-14</v>
      </c>
      <c r="M198" s="3">
        <f>0.5*(C10/C198)*E198</f>
        <v>4.0935528884308251E-14</v>
      </c>
      <c r="N198" s="3">
        <f>K198*C8^2</f>
        <v>8.1871057768238858E-14</v>
      </c>
      <c r="Q198" s="182"/>
    </row>
    <row r="199" spans="2:20" ht="20.100000000000001" customHeight="1" x14ac:dyDescent="0.35">
      <c r="B199" s="180" t="s">
        <v>170</v>
      </c>
      <c r="C199" s="3">
        <f>3*J199</f>
        <v>1.15847780388E-12</v>
      </c>
      <c r="D199" s="3">
        <f>(K199*E199)/$C$8</f>
        <v>3.0364612338403366E-31</v>
      </c>
      <c r="E199" s="12">
        <f>$C$10/(K199*C199)</f>
        <v>99930819.333563805</v>
      </c>
      <c r="F199" s="3">
        <f>C199/E199</f>
        <v>1.1592798013724496E-20</v>
      </c>
      <c r="G199" s="3">
        <f>1/F199</f>
        <v>8.6260452292545659E+19</v>
      </c>
      <c r="H199" s="181">
        <f t="shared" ref="H199:H200" si="0">L199/$I$3</f>
        <v>28388.830555473407</v>
      </c>
      <c r="J199" s="167">
        <f>F2</f>
        <v>3.8615926795999998E-13</v>
      </c>
      <c r="K199" s="167">
        <f>F3</f>
        <v>9.1093837015000008E-31</v>
      </c>
      <c r="L199" s="3">
        <f>0.5*K199*E199^2</f>
        <v>4.5483920982564732E-15</v>
      </c>
      <c r="M199" s="3">
        <f>0.5*($C$10/C199)*E199</f>
        <v>4.5483920982564724E-15</v>
      </c>
      <c r="N199" s="3">
        <f>K199*$C$8^2</f>
        <v>8.1871057768238858E-14</v>
      </c>
      <c r="Q199" s="182"/>
    </row>
    <row r="200" spans="2:20" ht="20.100000000000001" customHeight="1" x14ac:dyDescent="0.35">
      <c r="B200" s="183" t="s">
        <v>171</v>
      </c>
      <c r="C200" s="20">
        <f>J199/I2</f>
        <v>5.2917721090327198E-11</v>
      </c>
      <c r="D200" s="20">
        <f>(K200*E200)/$C$8</f>
        <v>6.6474384559033875E-33</v>
      </c>
      <c r="E200" s="184">
        <f>$C$10/(K200*C200)</f>
        <v>2187691.2636481076</v>
      </c>
      <c r="F200" s="20">
        <f>C200/E200</f>
        <v>2.4188843265792311E-17</v>
      </c>
      <c r="G200" s="20">
        <f>1/F200</f>
        <v>4.1341373335292672E+16</v>
      </c>
      <c r="H200" s="185">
        <f t="shared" si="0"/>
        <v>13.605693123030511</v>
      </c>
      <c r="J200" s="171">
        <f>F2</f>
        <v>3.8615926795999998E-13</v>
      </c>
      <c r="K200" s="171">
        <f>F3</f>
        <v>9.1093837015000008E-31</v>
      </c>
      <c r="L200" s="20">
        <f>0.5*K200*E200^2</f>
        <v>2.1798723611093971E-18</v>
      </c>
      <c r="M200" s="20">
        <f>0.5*($C$10/C200)*E200</f>
        <v>2.1798723611093971E-18</v>
      </c>
      <c r="N200" s="20">
        <f>K200*$C$8^2</f>
        <v>8.1871057768238858E-14</v>
      </c>
      <c r="Q200" s="182"/>
    </row>
    <row r="201" spans="2:20" ht="20.100000000000001" customHeight="1" x14ac:dyDescent="0.25"/>
    <row r="202" spans="2:20" ht="20.100000000000001" customHeight="1" x14ac:dyDescent="0.25"/>
    <row r="203" spans="2:20" ht="20.100000000000001" customHeight="1" x14ac:dyDescent="0.25"/>
    <row r="204" spans="2:20" ht="20.100000000000001" customHeight="1" x14ac:dyDescent="0.25"/>
    <row r="205" spans="2:20" ht="20.100000000000001" customHeight="1" x14ac:dyDescent="0.25">
      <c r="B205" s="173" t="s">
        <v>172</v>
      </c>
    </row>
    <row r="206" spans="2:20" ht="60" customHeight="1" x14ac:dyDescent="0.25">
      <c r="B206" s="118" t="s">
        <v>162</v>
      </c>
      <c r="C206" s="186"/>
      <c r="D206" s="186"/>
      <c r="E206" s="186"/>
      <c r="F206" s="186"/>
      <c r="G206" s="186"/>
      <c r="H206" s="186"/>
      <c r="I206" s="186"/>
    </row>
    <row r="207" spans="2:20" ht="24.95" customHeight="1" x14ac:dyDescent="0.35">
      <c r="B207" s="180" t="s">
        <v>173</v>
      </c>
      <c r="C207" s="187">
        <f>J199/C199</f>
        <v>0.33333333333333331</v>
      </c>
      <c r="D207" s="187">
        <f>D199/K199</f>
        <v>0.33333333333410209</v>
      </c>
      <c r="E207" s="187">
        <f>E199/E198</f>
        <v>0.33333333333333331</v>
      </c>
      <c r="F207" s="187">
        <f>F199/F198</f>
        <v>9</v>
      </c>
      <c r="G207" s="187">
        <f>G199/G198</f>
        <v>0.11111111111111112</v>
      </c>
      <c r="H207" s="187">
        <f>(E199/E198)^2</f>
        <v>0.1111111111111111</v>
      </c>
      <c r="I207" s="187">
        <f>L199/N199</f>
        <v>5.5555555555811827E-2</v>
      </c>
    </row>
    <row r="208" spans="2:20" s="177" customFormat="1" ht="24.95" customHeight="1" x14ac:dyDescent="0.25">
      <c r="B208" s="180"/>
      <c r="C208" s="188" t="s">
        <v>174</v>
      </c>
      <c r="D208" s="188" t="s">
        <v>174</v>
      </c>
      <c r="E208" s="188" t="s">
        <v>174</v>
      </c>
      <c r="F208" s="189">
        <v>9</v>
      </c>
      <c r="G208" s="188" t="s">
        <v>175</v>
      </c>
      <c r="H208" s="188" t="s">
        <v>175</v>
      </c>
      <c r="I208" s="188" t="s">
        <v>176</v>
      </c>
    </row>
    <row r="209" spans="1:16" ht="24.95" customHeight="1" x14ac:dyDescent="0.35">
      <c r="B209" s="180" t="s">
        <v>177</v>
      </c>
      <c r="C209" s="187">
        <f>J200/C200</f>
        <v>7.2973525693000004E-3</v>
      </c>
      <c r="D209" s="187">
        <f>D200/K200</f>
        <v>7.2973525693168289E-3</v>
      </c>
      <c r="E209" s="187">
        <f>E200/E198</f>
        <v>7.2973525692999995E-3</v>
      </c>
      <c r="F209" s="189">
        <f>F200/F198</f>
        <v>18778.865044866678</v>
      </c>
      <c r="G209" s="187">
        <f>G200/G198</f>
        <v>5.3251354520669307E-5</v>
      </c>
      <c r="H209" s="187">
        <f>(E200/E198)^2</f>
        <v>5.3251354520669307E-5</v>
      </c>
      <c r="I209" s="187">
        <f>L200/N200</f>
        <v>2.662567726045747E-5</v>
      </c>
    </row>
    <row r="210" spans="1:16" s="177" customFormat="1" ht="24.95" customHeight="1" x14ac:dyDescent="0.25">
      <c r="B210" s="183"/>
      <c r="C210" s="190" t="s">
        <v>178</v>
      </c>
      <c r="D210" s="190" t="s">
        <v>178</v>
      </c>
      <c r="E210" s="190" t="s">
        <v>178</v>
      </c>
      <c r="F210" s="190" t="s">
        <v>179</v>
      </c>
      <c r="G210" s="190" t="s">
        <v>180</v>
      </c>
      <c r="H210" s="190" t="s">
        <v>180</v>
      </c>
      <c r="I210" s="190" t="s">
        <v>181</v>
      </c>
    </row>
    <row r="211" spans="1:16" ht="20.100000000000001" customHeight="1" x14ac:dyDescent="0.25"/>
    <row r="212" spans="1:16" ht="20.100000000000001" customHeight="1" x14ac:dyDescent="0.25"/>
    <row r="213" spans="1:16" ht="20.100000000000001" customHeight="1" x14ac:dyDescent="0.25"/>
    <row r="214" spans="1:16" ht="20.100000000000001" customHeight="1" x14ac:dyDescent="0.25"/>
    <row r="215" spans="1:16" ht="20.100000000000001" customHeight="1" x14ac:dyDescent="0.25"/>
    <row r="216" spans="1:16" ht="20.100000000000001" customHeight="1" x14ac:dyDescent="0.25"/>
    <row r="217" spans="1:16" ht="20.100000000000001" customHeight="1" x14ac:dyDescent="0.25"/>
    <row r="218" spans="1:16" ht="20.100000000000001" customHeight="1" x14ac:dyDescent="0.25"/>
    <row r="219" spans="1:16" s="1" customFormat="1" ht="20.100000000000001" customHeight="1" x14ac:dyDescent="0.25">
      <c r="B219" s="45"/>
      <c r="C219" s="158"/>
      <c r="D219" s="158"/>
      <c r="E219" s="158"/>
      <c r="F219" s="191"/>
      <c r="H219" s="6"/>
      <c r="I219" s="27"/>
      <c r="J219" s="27"/>
      <c r="K219" s="6"/>
      <c r="L219" s="6"/>
      <c r="M219" s="6"/>
      <c r="N219" s="6"/>
      <c r="O219" s="6"/>
      <c r="P219" s="6"/>
    </row>
    <row r="220" spans="1:16" s="1" customFormat="1" ht="20.100000000000001" customHeight="1" x14ac:dyDescent="0.25">
      <c r="B220" s="51"/>
      <c r="C220" s="160"/>
      <c r="D220" s="160"/>
      <c r="E220" s="160"/>
      <c r="F220" s="134"/>
      <c r="G220" s="18"/>
      <c r="H220" s="134"/>
      <c r="I220" s="133"/>
      <c r="J220" s="133"/>
      <c r="K220" s="6"/>
      <c r="L220" s="6"/>
      <c r="M220" s="6"/>
      <c r="N220" s="6"/>
      <c r="O220" s="6"/>
      <c r="P220" s="6"/>
    </row>
    <row r="221" spans="1:16" s="1" customFormat="1" ht="20.100000000000001" customHeight="1" x14ac:dyDescent="0.25">
      <c r="B221" s="192" t="s">
        <v>182</v>
      </c>
      <c r="C221" s="158"/>
      <c r="D221" s="158"/>
      <c r="E221" s="158"/>
      <c r="F221" s="6"/>
      <c r="G221" s="6"/>
      <c r="H221" s="27"/>
      <c r="I221" s="27"/>
      <c r="J221" s="6"/>
      <c r="K221" s="6"/>
      <c r="L221" s="6"/>
      <c r="M221" s="6"/>
      <c r="N221" s="6"/>
      <c r="O221" s="6"/>
    </row>
    <row r="222" spans="1:16" s="1" customFormat="1" ht="20.100000000000001" customHeight="1" x14ac:dyDescent="0.25">
      <c r="B222" s="45"/>
      <c r="C222" s="158"/>
      <c r="D222" s="158"/>
      <c r="E222" s="158"/>
      <c r="F222" s="6"/>
      <c r="G222" s="6"/>
      <c r="H222" s="27"/>
      <c r="I222" s="27"/>
      <c r="J222" s="6"/>
      <c r="K222" s="6"/>
      <c r="L222" s="6"/>
      <c r="M222" s="6"/>
      <c r="N222" s="6"/>
      <c r="O222" s="6"/>
    </row>
    <row r="223" spans="1:16" s="1" customFormat="1" ht="20.100000000000001" customHeight="1" x14ac:dyDescent="0.25">
      <c r="A223"/>
      <c r="B223"/>
      <c r="C223"/>
      <c r="D223"/>
      <c r="E223"/>
      <c r="F223"/>
      <c r="G223"/>
      <c r="H223"/>
      <c r="I223"/>
      <c r="J223"/>
      <c r="K223"/>
      <c r="L223"/>
      <c r="M223"/>
      <c r="N223" s="6"/>
      <c r="O223" s="6"/>
    </row>
    <row r="224" spans="1:16" s="1" customFormat="1" ht="20.100000000000001" customHeight="1" x14ac:dyDescent="0.25">
      <c r="A224"/>
      <c r="C224" s="193" t="s">
        <v>183</v>
      </c>
      <c r="D224" s="193" t="s">
        <v>184</v>
      </c>
      <c r="E224" s="193" t="s">
        <v>184</v>
      </c>
      <c r="F224" s="193" t="s">
        <v>185</v>
      </c>
      <c r="G224" s="193" t="s">
        <v>185</v>
      </c>
      <c r="H224"/>
      <c r="I224"/>
      <c r="J224"/>
      <c r="K224"/>
      <c r="L224"/>
      <c r="M224"/>
      <c r="N224" s="6"/>
      <c r="O224" s="6"/>
    </row>
    <row r="225" spans="1:15" s="1" customFormat="1" ht="20.100000000000001" customHeight="1" thickBot="1" x14ac:dyDescent="0.3">
      <c r="A225"/>
      <c r="C225" s="194"/>
      <c r="D225" s="194" t="s">
        <v>186</v>
      </c>
      <c r="E225" s="194" t="s">
        <v>85</v>
      </c>
      <c r="F225" s="194" t="s">
        <v>187</v>
      </c>
      <c r="G225" s="194" t="s">
        <v>46</v>
      </c>
      <c r="H225"/>
      <c r="I225"/>
      <c r="J225"/>
      <c r="K225"/>
      <c r="L225"/>
      <c r="M225"/>
      <c r="N225" s="6"/>
      <c r="O225" s="6"/>
    </row>
    <row r="226" spans="1:15" s="1" customFormat="1" ht="20.100000000000001" customHeight="1" thickTop="1" x14ac:dyDescent="0.25">
      <c r="A226"/>
      <c r="C226" s="7" t="s">
        <v>188</v>
      </c>
      <c r="D226" s="195">
        <v>4154000</v>
      </c>
      <c r="E226" s="195">
        <f>D226*F8</f>
        <v>8.2601043799999998E+36</v>
      </c>
      <c r="G226" s="144">
        <f>2*(E226/C3)*C2</f>
        <v>12268173539.557735</v>
      </c>
      <c r="I226" s="196" t="s">
        <v>189</v>
      </c>
      <c r="J226"/>
      <c r="K226"/>
      <c r="L226"/>
      <c r="M226"/>
      <c r="N226" s="6"/>
      <c r="O226" s="6"/>
    </row>
    <row r="227" spans="1:15" s="1" customFormat="1" ht="20.100000000000001" customHeight="1" x14ac:dyDescent="0.25">
      <c r="A227"/>
      <c r="C227" s="7" t="s">
        <v>190</v>
      </c>
      <c r="D227" s="54">
        <v>5.31</v>
      </c>
      <c r="E227" s="195">
        <f>D227*F8</f>
        <v>1.0558775699999998E+31</v>
      </c>
      <c r="G227" s="12">
        <f>2*(E227/C3)*C2</f>
        <v>15682.234351240144</v>
      </c>
      <c r="I227" s="196" t="s">
        <v>191</v>
      </c>
      <c r="J227"/>
      <c r="K227"/>
      <c r="L227"/>
      <c r="M227"/>
      <c r="N227" s="6"/>
      <c r="O227" s="6"/>
    </row>
    <row r="228" spans="1:15" s="1" customFormat="1" ht="20.100000000000001" customHeight="1" x14ac:dyDescent="0.25">
      <c r="A228"/>
      <c r="C228" s="7" t="s">
        <v>192</v>
      </c>
      <c r="D228" s="54">
        <v>1.58</v>
      </c>
      <c r="E228" s="195">
        <f>D228*F8</f>
        <v>3.1417826000000004E+30</v>
      </c>
      <c r="G228" s="12">
        <v>9100</v>
      </c>
      <c r="H228"/>
      <c r="I228" s="196" t="s">
        <v>193</v>
      </c>
      <c r="J228"/>
      <c r="K228"/>
      <c r="L228"/>
      <c r="M228"/>
      <c r="N228" s="6"/>
      <c r="O228" s="6"/>
    </row>
    <row r="229" spans="1:15" s="1" customFormat="1" ht="20.100000000000001" customHeight="1" x14ac:dyDescent="0.25">
      <c r="A229"/>
      <c r="C229" s="7" t="s">
        <v>194</v>
      </c>
      <c r="D229" s="54">
        <v>1.034</v>
      </c>
      <c r="E229" s="195">
        <f>D229*F8</f>
        <v>2.0560779800000001E+30</v>
      </c>
      <c r="F229" s="54">
        <v>8.3999999999999995E-3</v>
      </c>
      <c r="G229" s="12">
        <f>F229*F9</f>
        <v>5847710.3999999994</v>
      </c>
      <c r="H229"/>
      <c r="I229" s="196" t="s">
        <v>195</v>
      </c>
      <c r="J229"/>
      <c r="K229"/>
      <c r="L229"/>
      <c r="M229"/>
      <c r="N229" s="6"/>
      <c r="O229" s="6"/>
    </row>
    <row r="230" spans="1:15" s="1" customFormat="1" ht="20.100000000000001" customHeight="1" x14ac:dyDescent="0.25">
      <c r="A230"/>
      <c r="C230" s="7" t="s">
        <v>196</v>
      </c>
      <c r="D230" s="54">
        <v>1</v>
      </c>
      <c r="E230" s="195">
        <f>F8</f>
        <v>1.98847E+30</v>
      </c>
      <c r="G230" s="12">
        <f>F9</f>
        <v>696156000</v>
      </c>
      <c r="H230"/>
      <c r="I230" s="196" t="s">
        <v>197</v>
      </c>
      <c r="J230"/>
      <c r="K230"/>
      <c r="L230"/>
      <c r="M230"/>
      <c r="N230" s="6"/>
      <c r="O230" s="6"/>
    </row>
    <row r="231" spans="1:15" s="1" customFormat="1" ht="20.100000000000001" customHeight="1" x14ac:dyDescent="0.25">
      <c r="A231"/>
      <c r="C231" s="36" t="s">
        <v>198</v>
      </c>
      <c r="D231" s="18"/>
      <c r="E231" s="197">
        <v>5.9722999999999996E+24</v>
      </c>
      <c r="F231" s="18"/>
      <c r="G231" s="184">
        <v>6371000</v>
      </c>
      <c r="H231"/>
      <c r="I231" s="196" t="s">
        <v>199</v>
      </c>
      <c r="J231"/>
      <c r="K231"/>
      <c r="L231"/>
      <c r="M231"/>
      <c r="N231" s="6"/>
      <c r="O231" s="6"/>
    </row>
    <row r="232" spans="1:15" s="1" customFormat="1" ht="20.100000000000001" customHeight="1" x14ac:dyDescent="0.25">
      <c r="A232"/>
      <c r="B232"/>
      <c r="C232"/>
      <c r="D232"/>
      <c r="E232"/>
      <c r="F232"/>
      <c r="G232"/>
      <c r="H232"/>
      <c r="I232" s="198"/>
      <c r="J232"/>
      <c r="K232"/>
      <c r="L232"/>
      <c r="M232"/>
      <c r="N232" s="6"/>
      <c r="O232" s="6"/>
    </row>
    <row r="233" spans="1:15" s="1" customFormat="1" ht="20.100000000000001" customHeight="1" x14ac:dyDescent="0.25">
      <c r="A233"/>
      <c r="B233"/>
      <c r="C233"/>
      <c r="D233"/>
      <c r="E233"/>
      <c r="F233"/>
      <c r="G233"/>
      <c r="H233"/>
      <c r="I233" s="198"/>
      <c r="J233"/>
      <c r="K233"/>
      <c r="L233"/>
      <c r="M233"/>
      <c r="N233" s="6"/>
      <c r="O233" s="6"/>
    </row>
    <row r="234" spans="1:15" s="1" customFormat="1" ht="20.100000000000001" customHeight="1" x14ac:dyDescent="0.25">
      <c r="A234"/>
      <c r="B234" s="199"/>
      <c r="C234" s="200"/>
      <c r="D234" s="201"/>
      <c r="E234" s="202"/>
      <c r="F234" s="203"/>
      <c r="G234" s="204"/>
      <c r="H234"/>
      <c r="I234"/>
      <c r="J234"/>
      <c r="K234"/>
      <c r="L234"/>
      <c r="M234"/>
      <c r="N234" s="6"/>
      <c r="O234" s="6"/>
    </row>
    <row r="235" spans="1:15" s="1" customFormat="1" ht="20.100000000000001" customHeight="1" x14ac:dyDescent="0.25">
      <c r="A235"/>
      <c r="B235" s="205" t="s">
        <v>200</v>
      </c>
      <c r="C235" s="200"/>
      <c r="D235" s="201"/>
      <c r="E235" s="202"/>
      <c r="F235" s="203"/>
      <c r="G235" s="204"/>
      <c r="H235"/>
      <c r="I235"/>
      <c r="J235"/>
      <c r="K235"/>
      <c r="L235"/>
      <c r="M235"/>
      <c r="N235" s="6"/>
      <c r="O235" s="6"/>
    </row>
    <row r="236" spans="1:15" s="1" customFormat="1" ht="60" customHeight="1" x14ac:dyDescent="0.25">
      <c r="A236"/>
      <c r="B236" s="175"/>
      <c r="C236" s="118" t="s">
        <v>183</v>
      </c>
      <c r="D236" s="118" t="s">
        <v>201</v>
      </c>
      <c r="E236" s="206"/>
      <c r="F236" s="206"/>
      <c r="G236" s="206"/>
      <c r="H236"/>
      <c r="I236"/>
      <c r="J236"/>
      <c r="K236"/>
      <c r="L236"/>
      <c r="M236"/>
      <c r="N236" s="6"/>
      <c r="O236" s="6"/>
    </row>
    <row r="237" spans="1:15" s="1" customFormat="1" ht="24.95" customHeight="1" x14ac:dyDescent="0.25">
      <c r="A237"/>
      <c r="B237" s="199"/>
      <c r="C237" s="207"/>
      <c r="D237" s="207"/>
      <c r="E237" s="208" t="s">
        <v>137</v>
      </c>
      <c r="F237" s="209" t="s">
        <v>90</v>
      </c>
      <c r="G237" s="208" t="s">
        <v>202</v>
      </c>
      <c r="H237"/>
      <c r="I237"/>
      <c r="J237"/>
      <c r="K237"/>
      <c r="L237"/>
      <c r="M237"/>
      <c r="N237" s="6"/>
      <c r="O237" s="6"/>
    </row>
    <row r="238" spans="1:15" s="1" customFormat="1" ht="20.100000000000001" customHeight="1" x14ac:dyDescent="0.25">
      <c r="A238"/>
      <c r="B238" s="199"/>
      <c r="C238" s="7" t="s">
        <v>188</v>
      </c>
      <c r="D238" s="57" t="s">
        <v>203</v>
      </c>
      <c r="E238" s="195">
        <f t="shared" ref="E238:E243" si="1">$C$2/G226</f>
        <v>1.3174373469600151E-45</v>
      </c>
      <c r="F238" s="195">
        <f t="shared" ref="F238:F243" si="2">E226/$C$3</f>
        <v>3.7952468946910403E+44</v>
      </c>
      <c r="G238" s="210">
        <f t="shared" ref="G238:G243" si="3">2*E238*F238</f>
        <v>1</v>
      </c>
      <c r="H238" s="211"/>
      <c r="I238" s="211"/>
      <c r="J238"/>
      <c r="K238"/>
      <c r="L238"/>
      <c r="M238"/>
      <c r="N238" s="6"/>
      <c r="O238" s="6"/>
    </row>
    <row r="239" spans="1:15" s="1" customFormat="1" ht="20.100000000000001" customHeight="1" x14ac:dyDescent="0.25">
      <c r="A239"/>
      <c r="B239" s="199"/>
      <c r="C239" s="7" t="s">
        <v>190</v>
      </c>
      <c r="D239" s="57" t="s">
        <v>204</v>
      </c>
      <c r="E239" s="195">
        <f t="shared" si="1"/>
        <v>1.0306280111623171E-39</v>
      </c>
      <c r="F239" s="195">
        <f t="shared" si="2"/>
        <v>4.8514109318270149E+38</v>
      </c>
      <c r="G239" s="210">
        <f t="shared" si="3"/>
        <v>1</v>
      </c>
      <c r="H239"/>
      <c r="I239"/>
      <c r="J239"/>
      <c r="K239"/>
      <c r="L239"/>
      <c r="M239"/>
      <c r="N239" s="6"/>
      <c r="O239" s="6"/>
    </row>
    <row r="240" spans="1:15" s="1" customFormat="1" ht="20.100000000000001" customHeight="1" x14ac:dyDescent="0.25">
      <c r="A240"/>
      <c r="B240" s="199"/>
      <c r="C240" s="7" t="s">
        <v>192</v>
      </c>
      <c r="D240" s="57" t="s">
        <v>205</v>
      </c>
      <c r="E240" s="195">
        <f t="shared" si="1"/>
        <v>1.7761043956043957E-39</v>
      </c>
      <c r="F240" s="195">
        <f t="shared" si="2"/>
        <v>1.4435460023138767E+38</v>
      </c>
      <c r="G240" s="210">
        <f t="shared" si="3"/>
        <v>0.51277767999336588</v>
      </c>
      <c r="H240"/>
      <c r="I240"/>
      <c r="J240"/>
      <c r="K240"/>
      <c r="L240"/>
      <c r="M240"/>
      <c r="N240" s="6"/>
      <c r="O240" s="6"/>
    </row>
    <row r="241" spans="1:15" s="1" customFormat="1" ht="20.100000000000001" customHeight="1" x14ac:dyDescent="0.25">
      <c r="A241"/>
      <c r="C241" s="7" t="s">
        <v>194</v>
      </c>
      <c r="D241" s="57" t="s">
        <v>206</v>
      </c>
      <c r="E241" s="195">
        <f t="shared" si="1"/>
        <v>2.7639108119991719E-42</v>
      </c>
      <c r="F241" s="195">
        <f t="shared" si="2"/>
        <v>9.4470035847629655E+37</v>
      </c>
      <c r="G241" s="195">
        <f t="shared" si="3"/>
        <v>5.2221350697842592E-4</v>
      </c>
      <c r="H241"/>
      <c r="I241" s="212"/>
      <c r="J241"/>
      <c r="K241"/>
      <c r="L241"/>
      <c r="M241"/>
      <c r="N241" s="6"/>
      <c r="O241" s="6"/>
    </row>
    <row r="242" spans="1:15" s="1" customFormat="1" ht="20.100000000000001" customHeight="1" x14ac:dyDescent="0.25">
      <c r="A242"/>
      <c r="B242" s="199"/>
      <c r="C242" s="7" t="s">
        <v>196</v>
      </c>
      <c r="D242" s="57" t="s">
        <v>207</v>
      </c>
      <c r="E242" s="195">
        <f t="shared" si="1"/>
        <v>2.3216850820793042E-44</v>
      </c>
      <c r="F242" s="195">
        <f t="shared" si="2"/>
        <v>9.1363671032523833E+37</v>
      </c>
      <c r="G242" s="195">
        <f t="shared" si="3"/>
        <v>4.2423534416042329E-6</v>
      </c>
      <c r="H242"/>
      <c r="I242" s="213"/>
      <c r="J242"/>
      <c r="K242"/>
      <c r="L242"/>
      <c r="M242"/>
      <c r="N242" s="6"/>
      <c r="O242" s="6"/>
    </row>
    <row r="243" spans="1:15" s="1" customFormat="1" ht="20.100000000000001" customHeight="1" x14ac:dyDescent="0.25">
      <c r="A243"/>
      <c r="B243" s="199"/>
      <c r="C243" s="36" t="s">
        <v>198</v>
      </c>
      <c r="D243" s="214" t="s">
        <v>208</v>
      </c>
      <c r="E243" s="197">
        <f t="shared" si="1"/>
        <v>2.5368937372469E-42</v>
      </c>
      <c r="F243" s="197">
        <f t="shared" si="2"/>
        <v>2.74407585986986E+32</v>
      </c>
      <c r="G243" s="215">
        <f t="shared" si="3"/>
        <v>1.3922857726868499E-9</v>
      </c>
      <c r="H243"/>
      <c r="I243" s="216"/>
      <c r="J243"/>
      <c r="K243"/>
      <c r="L243"/>
      <c r="M243"/>
      <c r="N243" s="6"/>
      <c r="O243" s="6"/>
    </row>
    <row r="244" spans="1:15" s="1" customFormat="1" ht="20.100000000000001" customHeight="1" x14ac:dyDescent="0.25">
      <c r="A244"/>
      <c r="B244" s="199"/>
      <c r="C244" s="200"/>
      <c r="D244" s="200"/>
      <c r="E244" s="201"/>
      <c r="F244" s="202"/>
      <c r="G244" s="203"/>
      <c r="H244"/>
      <c r="I244"/>
      <c r="J244"/>
      <c r="K244"/>
      <c r="L244"/>
      <c r="M244"/>
      <c r="N244" s="6"/>
      <c r="O244" s="6"/>
    </row>
    <row r="245" spans="1:15" s="1" customFormat="1" ht="20.100000000000001" customHeight="1" x14ac:dyDescent="0.25">
      <c r="C245" s="46"/>
      <c r="D245" s="28"/>
      <c r="E245" s="28"/>
      <c r="F245" s="6"/>
      <c r="G245" s="6"/>
      <c r="H245" s="28"/>
      <c r="I245" s="28"/>
      <c r="J245" s="6"/>
      <c r="K245" s="6"/>
      <c r="L245" s="6"/>
      <c r="M245" s="6"/>
      <c r="N245" s="6"/>
      <c r="O245" s="6"/>
    </row>
    <row r="246" spans="1:15" s="1" customFormat="1" ht="20.100000000000001" customHeight="1" x14ac:dyDescent="0.35">
      <c r="B246" s="217" t="s">
        <v>209</v>
      </c>
      <c r="C246" s="218">
        <f>G231*G243</f>
        <v>8.87025265778792E-3</v>
      </c>
      <c r="D246" s="28"/>
      <c r="E246" s="28"/>
      <c r="F246" s="6"/>
      <c r="G246" s="6"/>
      <c r="H246" s="28"/>
      <c r="I246" s="28"/>
      <c r="J246" s="6"/>
      <c r="K246" s="6"/>
      <c r="L246" s="6"/>
      <c r="M246" s="6"/>
      <c r="N246" s="6"/>
      <c r="O246" s="6"/>
    </row>
    <row r="247" spans="1:15" s="1" customFormat="1" ht="20.100000000000001" customHeight="1" x14ac:dyDescent="0.25">
      <c r="C247" s="46"/>
      <c r="D247" s="28"/>
      <c r="E247" s="28"/>
      <c r="F247" s="6"/>
      <c r="G247" s="6"/>
      <c r="H247" s="27"/>
      <c r="I247" s="27"/>
      <c r="J247" s="6"/>
      <c r="K247" s="6"/>
      <c r="L247" s="6"/>
      <c r="M247" s="6"/>
      <c r="N247" s="6"/>
      <c r="O247" s="6"/>
    </row>
    <row r="248" spans="1:15" s="1" customFormat="1" ht="20.100000000000001" customHeight="1" x14ac:dyDescent="0.25">
      <c r="C248" s="46"/>
      <c r="D248" s="28"/>
      <c r="E248" s="28"/>
      <c r="F248" s="6"/>
      <c r="G248" s="6"/>
      <c r="H248" s="27"/>
      <c r="I248" s="27"/>
      <c r="J248" s="6"/>
      <c r="K248" s="6"/>
      <c r="L248" s="6"/>
      <c r="M248" s="6"/>
      <c r="N248" s="6"/>
      <c r="O248" s="6"/>
    </row>
    <row r="249" spans="1:15" s="1" customFormat="1" ht="20.100000000000001" customHeight="1" x14ac:dyDescent="0.25">
      <c r="C249" s="46"/>
      <c r="D249" s="28"/>
      <c r="E249" s="28"/>
      <c r="F249" s="6"/>
      <c r="G249" s="6"/>
      <c r="H249" s="27"/>
      <c r="I249" s="27"/>
      <c r="J249" s="6"/>
      <c r="K249" s="6"/>
      <c r="L249" s="6"/>
      <c r="M249" s="6"/>
      <c r="N249" s="6"/>
      <c r="O249" s="6"/>
    </row>
    <row r="250" spans="1:15" s="1" customFormat="1" ht="20.100000000000001" customHeight="1" x14ac:dyDescent="0.25">
      <c r="C250" s="46"/>
      <c r="D250" s="28"/>
      <c r="E250" s="28"/>
      <c r="F250" s="6"/>
      <c r="G250" s="6"/>
      <c r="H250" s="27"/>
      <c r="I250" s="27"/>
      <c r="J250" s="6"/>
      <c r="K250" s="6"/>
      <c r="L250" s="6"/>
      <c r="M250" s="6"/>
      <c r="N250" s="6"/>
      <c r="O250" s="6"/>
    </row>
    <row r="251" spans="1:15" s="1" customFormat="1" ht="20.100000000000001" customHeight="1" x14ac:dyDescent="0.25">
      <c r="C251" s="46"/>
      <c r="D251" s="28"/>
      <c r="E251" s="28"/>
      <c r="F251" s="6"/>
      <c r="G251" s="6"/>
      <c r="H251" s="27"/>
      <c r="I251" s="27"/>
      <c r="J251" s="6"/>
      <c r="K251" s="6"/>
      <c r="L251" s="6"/>
      <c r="M251" s="6"/>
      <c r="N251" s="6"/>
      <c r="O251" s="6"/>
    </row>
    <row r="252" spans="1:15" s="1" customFormat="1" ht="20.100000000000001" customHeight="1" x14ac:dyDescent="0.25">
      <c r="B252" s="17"/>
      <c r="C252" s="46"/>
      <c r="D252" s="28"/>
      <c r="E252" s="28"/>
      <c r="F252" s="6"/>
      <c r="G252" s="6"/>
      <c r="H252" s="27"/>
      <c r="I252" s="27"/>
      <c r="J252" s="6"/>
      <c r="K252" s="6"/>
      <c r="L252" s="6"/>
      <c r="M252" s="6"/>
      <c r="N252" s="6"/>
      <c r="O252" s="6"/>
    </row>
    <row r="253" spans="1:15" s="1" customFormat="1" ht="20.100000000000001" customHeight="1" x14ac:dyDescent="0.25">
      <c r="B253" s="219"/>
      <c r="C253" s="132"/>
      <c r="D253" s="37"/>
      <c r="E253" s="37"/>
      <c r="F253" s="134"/>
      <c r="G253" s="134"/>
      <c r="H253" s="133"/>
      <c r="I253" s="133"/>
      <c r="J253" s="6"/>
      <c r="K253" s="6"/>
      <c r="L253" s="6"/>
      <c r="M253" s="6"/>
      <c r="N253" s="6"/>
      <c r="O253" s="6"/>
    </row>
    <row r="254" spans="1:15" s="1" customFormat="1" ht="20.100000000000001" customHeight="1" x14ac:dyDescent="0.25">
      <c r="B254" s="220" t="s">
        <v>210</v>
      </c>
      <c r="C254" s="46"/>
      <c r="D254" s="28"/>
      <c r="E254" s="28"/>
      <c r="F254" s="6"/>
      <c r="G254" s="6"/>
      <c r="H254" s="27"/>
      <c r="I254" s="27"/>
      <c r="J254" s="6"/>
      <c r="K254" s="6"/>
      <c r="L254" s="6"/>
      <c r="M254" s="6"/>
      <c r="N254" s="6"/>
      <c r="O254" s="6"/>
    </row>
    <row r="255" spans="1:15" s="1" customFormat="1" ht="20.100000000000001" customHeight="1" x14ac:dyDescent="0.25">
      <c r="B255" s="221"/>
      <c r="C255" s="46"/>
      <c r="D255" s="28"/>
      <c r="E255" s="28"/>
      <c r="F255" s="6"/>
      <c r="G255" s="6"/>
      <c r="H255" s="27"/>
      <c r="I255" s="27"/>
      <c r="J255" s="6"/>
      <c r="K255" s="6"/>
      <c r="L255" s="6"/>
      <c r="M255" s="6"/>
      <c r="N255" s="6"/>
      <c r="O255" s="6"/>
    </row>
    <row r="256" spans="1:15" s="1" customFormat="1" ht="20.100000000000001" customHeight="1" x14ac:dyDescent="0.25">
      <c r="B256" s="219"/>
      <c r="C256" s="132"/>
      <c r="D256" s="37"/>
      <c r="E256" s="37"/>
      <c r="F256" s="6"/>
      <c r="G256" s="6"/>
      <c r="H256" s="27"/>
      <c r="I256" s="27"/>
      <c r="J256" s="6"/>
      <c r="K256" s="6"/>
      <c r="L256" s="6"/>
      <c r="M256" s="6"/>
      <c r="N256" s="6"/>
      <c r="O256" s="6"/>
    </row>
    <row r="257" spans="2:15" s="1" customFormat="1" ht="20.100000000000001" customHeight="1" x14ac:dyDescent="0.25">
      <c r="B257" s="7" t="s">
        <v>211</v>
      </c>
      <c r="C257" s="46"/>
      <c r="D257" s="28"/>
      <c r="E257" s="28"/>
      <c r="F257" s="6"/>
      <c r="G257" s="6"/>
      <c r="H257" s="27"/>
      <c r="I257" s="27"/>
      <c r="J257" s="6"/>
      <c r="K257" s="6"/>
      <c r="L257" s="6"/>
      <c r="M257" s="6"/>
      <c r="N257" s="6"/>
      <c r="O257" s="6"/>
    </row>
    <row r="258" spans="2:15" s="1" customFormat="1" ht="20.100000000000001" customHeight="1" x14ac:dyDescent="0.25">
      <c r="B258" s="17"/>
      <c r="C258" s="46"/>
      <c r="D258" s="28"/>
      <c r="E258" s="28"/>
      <c r="F258" s="6"/>
      <c r="G258" s="6"/>
      <c r="H258" s="27"/>
      <c r="I258" s="27"/>
      <c r="J258" s="6"/>
      <c r="K258" s="6"/>
      <c r="L258" s="6"/>
      <c r="M258" s="6"/>
      <c r="N258" s="6"/>
      <c r="O258" s="6"/>
    </row>
    <row r="259" spans="2:15" s="1" customFormat="1" ht="20.100000000000001" customHeight="1" x14ac:dyDescent="0.25">
      <c r="B259" s="23" t="s">
        <v>212</v>
      </c>
      <c r="C259" s="4">
        <f>I6</f>
        <v>8987551792.2607803</v>
      </c>
      <c r="D259" s="24">
        <v>1</v>
      </c>
      <c r="E259" s="28"/>
      <c r="F259" s="6"/>
      <c r="G259" s="6"/>
      <c r="H259" s="27"/>
      <c r="I259" s="27"/>
      <c r="J259" s="6"/>
      <c r="K259" s="6"/>
      <c r="L259" s="6"/>
      <c r="M259" s="6"/>
      <c r="N259" s="6"/>
      <c r="O259" s="6"/>
    </row>
    <row r="260" spans="2:15" s="1" customFormat="1" ht="20.100000000000001" customHeight="1" x14ac:dyDescent="0.25">
      <c r="B260" s="222" t="s">
        <v>213</v>
      </c>
      <c r="C260" s="3">
        <f>(C3*C2^3)/(C4^2*C5^2)</f>
        <v>8987548130.1798153</v>
      </c>
      <c r="D260" s="223">
        <f>C260/C259</f>
        <v>0.99999959253854109</v>
      </c>
      <c r="E260" s="28"/>
      <c r="F260" s="6"/>
      <c r="G260" s="6"/>
      <c r="H260" s="27"/>
      <c r="I260" s="27"/>
      <c r="J260" s="6"/>
      <c r="K260" s="6"/>
      <c r="L260" s="6"/>
      <c r="M260" s="6"/>
      <c r="N260" s="6"/>
      <c r="O260" s="6"/>
    </row>
    <row r="261" spans="2:15" s="1" customFormat="1" ht="20.100000000000001" customHeight="1" x14ac:dyDescent="0.25">
      <c r="B261" s="17"/>
      <c r="C261" s="46"/>
      <c r="D261" s="28"/>
      <c r="E261" s="28"/>
      <c r="F261" s="6"/>
      <c r="G261" s="6"/>
      <c r="H261" s="27"/>
      <c r="I261" s="27"/>
      <c r="J261" s="6"/>
      <c r="K261" s="6"/>
      <c r="L261" s="6"/>
      <c r="M261" s="6"/>
      <c r="N261" s="6"/>
      <c r="O261" s="6"/>
    </row>
    <row r="262" spans="2:15" s="1" customFormat="1" ht="20.100000000000001" customHeight="1" x14ac:dyDescent="0.25">
      <c r="B262" s="23"/>
      <c r="C262" s="4"/>
      <c r="D262" s="28"/>
      <c r="E262" s="28"/>
      <c r="F262" s="6"/>
      <c r="G262" s="6"/>
      <c r="H262" s="224"/>
      <c r="I262" s="27"/>
      <c r="J262" s="6"/>
      <c r="K262" s="6"/>
      <c r="L262" s="6"/>
      <c r="M262" s="6"/>
      <c r="N262" s="6"/>
      <c r="O262" s="6"/>
    </row>
    <row r="263" spans="2:15" s="1" customFormat="1" ht="20.100000000000001" customHeight="1" x14ac:dyDescent="0.25">
      <c r="B263" s="17" t="s">
        <v>214</v>
      </c>
      <c r="C263" s="225">
        <f>SQRT(I2)</f>
        <v>8.5424543131936037E-2</v>
      </c>
      <c r="D263" s="152">
        <v>1</v>
      </c>
      <c r="E263" s="28"/>
      <c r="F263" s="6"/>
      <c r="G263" s="6"/>
      <c r="H263" s="224"/>
      <c r="I263" s="27"/>
      <c r="J263" s="6"/>
      <c r="K263" s="6"/>
      <c r="L263" s="6"/>
      <c r="M263" s="6"/>
      <c r="N263" s="6"/>
      <c r="O263" s="6"/>
    </row>
    <row r="264" spans="2:15" s="1" customFormat="1" ht="20.100000000000001" customHeight="1" x14ac:dyDescent="0.25">
      <c r="B264" s="23" t="s">
        <v>215</v>
      </c>
      <c r="C264" s="225">
        <f>I3/C5</f>
        <v>8.5424543131805614E-2</v>
      </c>
      <c r="D264" s="152">
        <f>C264/C263</f>
        <v>0.99999999999847322</v>
      </c>
      <c r="E264" s="28"/>
      <c r="F264" s="6"/>
      <c r="G264" s="6"/>
      <c r="H264" s="224"/>
      <c r="I264" s="27"/>
      <c r="J264" s="6"/>
      <c r="K264" s="6"/>
      <c r="L264" s="6"/>
      <c r="M264" s="6"/>
      <c r="N264" s="6"/>
      <c r="O264" s="6"/>
    </row>
    <row r="265" spans="2:15" s="1" customFormat="1" ht="20.100000000000001" customHeight="1" x14ac:dyDescent="0.25">
      <c r="D265" s="28"/>
      <c r="E265" s="28"/>
      <c r="F265" s="6"/>
      <c r="G265" s="6"/>
      <c r="H265" s="27"/>
      <c r="I265" s="27"/>
      <c r="J265" s="6"/>
      <c r="K265" s="6"/>
      <c r="L265" s="6"/>
      <c r="M265" s="6"/>
      <c r="N265" s="6"/>
      <c r="O265" s="6"/>
    </row>
    <row r="266" spans="2:15" s="1" customFormat="1" ht="20.100000000000001" customHeight="1" x14ac:dyDescent="0.25">
      <c r="B266" s="18"/>
      <c r="C266" s="132"/>
      <c r="D266" s="37"/>
      <c r="E266" s="37"/>
      <c r="F266" s="6"/>
      <c r="G266" s="6"/>
      <c r="H266" s="27"/>
      <c r="I266" s="27"/>
      <c r="J266" s="6"/>
      <c r="K266" s="6"/>
      <c r="L266" s="6"/>
      <c r="M266" s="6"/>
      <c r="N266" s="6"/>
      <c r="O266" s="6"/>
    </row>
    <row r="267" spans="2:15" s="1" customFormat="1" ht="20.100000000000001" customHeight="1" x14ac:dyDescent="0.25">
      <c r="B267" s="7" t="s">
        <v>216</v>
      </c>
      <c r="C267" s="46"/>
      <c r="D267" s="28"/>
      <c r="E267" s="28"/>
      <c r="F267" s="6"/>
      <c r="G267" s="6"/>
      <c r="H267" s="27"/>
      <c r="I267" s="27"/>
      <c r="J267" s="6"/>
      <c r="K267" s="6"/>
      <c r="L267" s="6"/>
      <c r="M267" s="6"/>
      <c r="N267" s="6"/>
      <c r="O267" s="6"/>
    </row>
    <row r="268" spans="2:15" s="1" customFormat="1" ht="20.100000000000001" customHeight="1" x14ac:dyDescent="0.25">
      <c r="B268" s="7"/>
      <c r="C268" s="46"/>
      <c r="D268" s="28"/>
      <c r="E268" s="28"/>
      <c r="F268" s="6"/>
      <c r="G268" s="6"/>
      <c r="H268" s="27"/>
      <c r="I268" s="27"/>
      <c r="J268" s="6"/>
      <c r="K268" s="6"/>
      <c r="L268" s="6"/>
      <c r="M268" s="6"/>
      <c r="N268" s="6"/>
      <c r="O268" s="6"/>
    </row>
    <row r="269" spans="2:15" s="1" customFormat="1" ht="20.100000000000001" customHeight="1" x14ac:dyDescent="0.25">
      <c r="B269" s="23" t="s">
        <v>217</v>
      </c>
      <c r="C269" s="4">
        <f>I5</f>
        <v>8.8541878128003851E-12</v>
      </c>
      <c r="D269" s="24">
        <v>1</v>
      </c>
      <c r="E269" s="28"/>
      <c r="F269" s="6"/>
      <c r="G269" s="6"/>
      <c r="H269" s="27"/>
      <c r="I269" s="27"/>
      <c r="J269" s="6"/>
      <c r="K269" s="6"/>
      <c r="L269" s="6"/>
      <c r="M269" s="6"/>
      <c r="N269" s="6"/>
      <c r="O269" s="6"/>
    </row>
    <row r="270" spans="2:15" s="1" customFormat="1" ht="20.100000000000001" customHeight="1" x14ac:dyDescent="0.25">
      <c r="B270" s="17" t="s">
        <v>218</v>
      </c>
      <c r="C270" s="11">
        <f>(1/(4*PI()*C7))*(C5/C2)^2</f>
        <v>8.8541914205421386E-12</v>
      </c>
      <c r="D270" s="223">
        <f>C270/C269</f>
        <v>1.0000004074616249</v>
      </c>
      <c r="E270" s="28"/>
      <c r="F270" s="6"/>
      <c r="G270" s="6"/>
      <c r="H270" s="27"/>
      <c r="I270" s="27"/>
      <c r="J270" s="6"/>
      <c r="K270" s="6"/>
      <c r="L270" s="6"/>
      <c r="M270" s="6"/>
      <c r="N270" s="6"/>
      <c r="O270" s="6"/>
    </row>
    <row r="271" spans="2:15" s="1" customFormat="1" ht="20.100000000000001" customHeight="1" x14ac:dyDescent="0.25">
      <c r="B271" s="7"/>
      <c r="C271" s="46"/>
      <c r="D271" s="28"/>
      <c r="E271" s="28"/>
      <c r="F271" s="6"/>
      <c r="G271" s="6"/>
      <c r="H271" s="27"/>
      <c r="I271" s="27"/>
      <c r="J271" s="6"/>
      <c r="K271" s="6"/>
      <c r="L271" s="6"/>
      <c r="M271" s="6"/>
      <c r="N271" s="6"/>
      <c r="O271" s="6"/>
    </row>
    <row r="272" spans="2:15" s="1" customFormat="1" ht="20.100000000000001" customHeight="1" x14ac:dyDescent="0.25">
      <c r="B272" s="45"/>
      <c r="C272" s="46"/>
      <c r="D272" s="28"/>
      <c r="E272" s="28"/>
      <c r="F272" s="6"/>
      <c r="G272" s="6"/>
      <c r="H272" s="27"/>
      <c r="I272" s="27"/>
      <c r="J272" s="6"/>
      <c r="K272" s="6"/>
      <c r="L272" s="6"/>
      <c r="M272" s="6"/>
      <c r="N272" s="6"/>
      <c r="O272" s="6"/>
    </row>
    <row r="273" spans="1:17" s="1" customFormat="1" ht="20.100000000000001" customHeight="1" x14ac:dyDescent="0.25">
      <c r="B273" s="226" t="s">
        <v>219</v>
      </c>
      <c r="C273" s="46"/>
      <c r="D273" s="28"/>
      <c r="E273" s="28"/>
      <c r="F273" s="6"/>
      <c r="G273" s="6"/>
      <c r="H273" s="27"/>
      <c r="I273" s="27"/>
      <c r="J273" s="6"/>
      <c r="K273" s="6"/>
      <c r="L273" s="6"/>
      <c r="M273" s="6"/>
      <c r="N273" s="6"/>
      <c r="O273" s="6"/>
    </row>
    <row r="274" spans="1:17" s="228" customFormat="1" ht="39.950000000000003" customHeight="1" x14ac:dyDescent="0.25">
      <c r="A274" s="138"/>
      <c r="B274" s="118" t="s">
        <v>220</v>
      </c>
      <c r="C274" s="118" t="s">
        <v>221</v>
      </c>
      <c r="D274" s="118" t="s">
        <v>222</v>
      </c>
      <c r="E274" s="118" t="s">
        <v>223</v>
      </c>
      <c r="F274" s="118" t="s">
        <v>224</v>
      </c>
      <c r="G274" s="118" t="s">
        <v>225</v>
      </c>
      <c r="H274" s="227" t="s">
        <v>222</v>
      </c>
      <c r="I274" s="118" t="s">
        <v>226</v>
      </c>
      <c r="J274" s="227" t="s">
        <v>222</v>
      </c>
      <c r="K274" s="227" t="s">
        <v>227</v>
      </c>
      <c r="L274" s="227" t="s">
        <v>222</v>
      </c>
      <c r="M274" s="227" t="s">
        <v>228</v>
      </c>
    </row>
    <row r="275" spans="1:17" ht="50.1" customHeight="1" x14ac:dyDescent="0.25">
      <c r="B275" s="7" t="s">
        <v>9</v>
      </c>
      <c r="C275" s="229" t="s">
        <v>229</v>
      </c>
      <c r="D275" s="8">
        <f>SQRT(4*PI()*I5*C10*C8)</f>
        <v>1.8755460377797105E-18</v>
      </c>
      <c r="E275" s="230" t="s">
        <v>230</v>
      </c>
      <c r="F275" s="1"/>
      <c r="G275" s="53" t="s">
        <v>92</v>
      </c>
      <c r="H275" s="53" t="s">
        <v>92</v>
      </c>
      <c r="I275" s="53"/>
      <c r="J275" s="8">
        <f>I3/SQRT(I2)</f>
        <v>1.875546037776847E-18</v>
      </c>
      <c r="K275" s="53" t="s">
        <v>92</v>
      </c>
      <c r="L275" s="53" t="s">
        <v>92</v>
      </c>
      <c r="M275" s="231" t="s">
        <v>230</v>
      </c>
    </row>
    <row r="276" spans="1:17" ht="50.1" customHeight="1" x14ac:dyDescent="0.25">
      <c r="B276" s="7" t="s">
        <v>231</v>
      </c>
      <c r="C276" s="232" t="s">
        <v>138</v>
      </c>
      <c r="D276" s="8">
        <f>I3</f>
        <v>1.6021766339999999E-19</v>
      </c>
      <c r="E276" s="230" t="s">
        <v>230</v>
      </c>
      <c r="F276" s="53"/>
      <c r="G276" s="174"/>
      <c r="H276" s="8">
        <f>C5*SQRT(I2)</f>
        <v>1.6021766340024461E-19</v>
      </c>
      <c r="I276" s="53" t="s">
        <v>92</v>
      </c>
      <c r="J276" s="53" t="s">
        <v>92</v>
      </c>
      <c r="K276" s="53" t="s">
        <v>92</v>
      </c>
      <c r="L276" s="53" t="s">
        <v>92</v>
      </c>
      <c r="M276" s="231" t="s">
        <v>230</v>
      </c>
    </row>
    <row r="277" spans="1:17" ht="50.1" customHeight="1" x14ac:dyDescent="0.25">
      <c r="B277" s="7" t="s">
        <v>232</v>
      </c>
      <c r="C277" s="229" t="s">
        <v>233</v>
      </c>
      <c r="D277" s="9">
        <f>(4*PI()*I2*C10)/(I3^2*C8)</f>
        <v>1.2566370621238378E-6</v>
      </c>
      <c r="E277" s="231" t="s">
        <v>234</v>
      </c>
      <c r="F277" s="1"/>
      <c r="G277" s="174"/>
      <c r="H277" s="3">
        <f>4*PI()*C7*(C4/C5)^2</f>
        <v>1.2566368452509652E-6</v>
      </c>
      <c r="I277" s="229"/>
      <c r="J277" s="3">
        <f>4*PI()*(C2*C3/C5^2)</f>
        <v>1.2566368452509654E-6</v>
      </c>
      <c r="K277" s="229"/>
      <c r="L277" s="3">
        <f>4*PI()*C7*(1/H302)^2</f>
        <v>1.2566368452509652E-6</v>
      </c>
      <c r="M277" s="56" t="s">
        <v>235</v>
      </c>
      <c r="P277" s="233"/>
      <c r="Q277" s="3"/>
    </row>
    <row r="278" spans="1:17" ht="50.1" customHeight="1" x14ac:dyDescent="0.25">
      <c r="B278" s="7" t="s">
        <v>236</v>
      </c>
      <c r="C278" s="234" t="s">
        <v>237</v>
      </c>
      <c r="D278" s="4">
        <f>1/(I4*C8^2)</f>
        <v>8.8541878128003851E-12</v>
      </c>
      <c r="E278" s="235" t="s">
        <v>238</v>
      </c>
      <c r="F278" s="1"/>
      <c r="G278" s="174"/>
      <c r="H278" s="3">
        <f>(1/(4*PI()*C7))*(C5/C2)^2</f>
        <v>8.8541914205421386E-12</v>
      </c>
      <c r="I278" s="229"/>
      <c r="J278" s="3">
        <f>(1/(4*PI()*C7*C8^2))*(C5/C4)^2</f>
        <v>8.8541893408465893E-12</v>
      </c>
      <c r="K278" s="229"/>
      <c r="L278" s="3">
        <f>(1/(4*PI()*C7*C8^2))*H302^2</f>
        <v>8.8541893408465893E-12</v>
      </c>
      <c r="M278" s="231" t="s">
        <v>239</v>
      </c>
    </row>
    <row r="279" spans="1:17" ht="50.1" customHeight="1" x14ac:dyDescent="0.25">
      <c r="B279" s="7" t="s">
        <v>240</v>
      </c>
      <c r="C279" s="229" t="s">
        <v>241</v>
      </c>
      <c r="D279" s="236">
        <f>1/(4*PI()*I5)</f>
        <v>8987551792.2607803</v>
      </c>
      <c r="E279" s="237" t="s">
        <v>242</v>
      </c>
      <c r="F279" s="1"/>
      <c r="G279" s="174"/>
      <c r="H279" s="3">
        <f>C7*(C2/C5)^2</f>
        <v>8987548130.1798153</v>
      </c>
      <c r="I279" s="53"/>
      <c r="J279" s="3">
        <f>C7*C8^2*(C4/C5)^2</f>
        <v>8987550241.1990299</v>
      </c>
      <c r="K279" s="53"/>
      <c r="L279" s="3">
        <f>C7*C8^2*(1/H302)^2</f>
        <v>8987550241.1990299</v>
      </c>
      <c r="M279" s="238" t="s">
        <v>243</v>
      </c>
      <c r="Q279" s="3"/>
    </row>
    <row r="280" spans="1:17" ht="50.1" customHeight="1" x14ac:dyDescent="0.25">
      <c r="B280" s="7" t="s">
        <v>244</v>
      </c>
      <c r="C280" s="229" t="s">
        <v>245</v>
      </c>
      <c r="D280" s="239">
        <f>(2*PI()*C10)/I3^2</f>
        <v>25812.807459304513</v>
      </c>
      <c r="E280" s="240" t="s">
        <v>246</v>
      </c>
      <c r="F280" s="1"/>
      <c r="G280" s="174"/>
      <c r="H280" s="241">
        <f>(2*PI()/I2)*(C6/C4)*(C4/C5)^2</f>
        <v>25812.806035969646</v>
      </c>
      <c r="I280" s="53"/>
      <c r="J280" s="241">
        <f>(2*PI()/I2)*(C3/C4)*(C2/C5)^2</f>
        <v>25812.799972990528</v>
      </c>
      <c r="K280" s="53"/>
      <c r="L280" s="241">
        <f>(2*PI()/I2)*(C6/C4)*(1/H302^2)</f>
        <v>25812.806035969654</v>
      </c>
      <c r="M280" s="238" t="s">
        <v>247</v>
      </c>
    </row>
    <row r="281" spans="1:17" ht="50.1" customHeight="1" x14ac:dyDescent="0.25">
      <c r="B281" s="7" t="s">
        <v>248</v>
      </c>
      <c r="C281" s="229" t="s">
        <v>249</v>
      </c>
      <c r="D281" s="242">
        <f>(2*I3)/C9</f>
        <v>483597848416983.63</v>
      </c>
      <c r="E281" s="231" t="s">
        <v>250</v>
      </c>
      <c r="F281" s="1"/>
      <c r="G281" s="174"/>
      <c r="H281" s="243">
        <f>(SQRT(I2)/PI())*(1/C6)*(C5/C4)</f>
        <v>483597875082144.06</v>
      </c>
      <c r="I281" s="53" t="s">
        <v>92</v>
      </c>
      <c r="J281" s="53" t="s">
        <v>92</v>
      </c>
      <c r="K281" s="53"/>
      <c r="L281" s="243">
        <f>(SQRT(I2)/PI())*(1/C6)*H302</f>
        <v>483597875082144.06</v>
      </c>
      <c r="M281" s="231" t="s">
        <v>251</v>
      </c>
    </row>
    <row r="282" spans="1:17" ht="50.1" customHeight="1" x14ac:dyDescent="0.25">
      <c r="B282" s="7" t="s">
        <v>252</v>
      </c>
      <c r="C282" s="229" t="s">
        <v>253</v>
      </c>
      <c r="D282" s="236">
        <f>(I3*C10)/(2*F3)</f>
        <v>9.2740100783621635E-24</v>
      </c>
      <c r="E282" s="231" t="s">
        <v>254</v>
      </c>
      <c r="F282" s="1"/>
      <c r="G282" s="174"/>
      <c r="H282" s="3">
        <f>(SQRT(I2)/2)*(C3/F3)*C2^2*(C5/C4)</f>
        <v>9.2740073887262156E-24</v>
      </c>
      <c r="I282" s="53" t="s">
        <v>92</v>
      </c>
      <c r="J282" s="53" t="s">
        <v>92</v>
      </c>
      <c r="K282" s="53"/>
      <c r="L282" s="3">
        <f>(SQRT(I2)/2)*(C3/F3)*C2^2*H302</f>
        <v>9.2740073887262156E-24</v>
      </c>
      <c r="M282" s="238" t="s">
        <v>255</v>
      </c>
    </row>
    <row r="283" spans="1:17" ht="50.1" customHeight="1" x14ac:dyDescent="0.25">
      <c r="B283" s="7" t="s">
        <v>256</v>
      </c>
      <c r="C283" s="229" t="s">
        <v>257</v>
      </c>
      <c r="D283" s="244">
        <f>(2*I3^2)/(2*PI()*C10)</f>
        <v>7.7480917298636487E-5</v>
      </c>
      <c r="E283" s="245" t="s">
        <v>258</v>
      </c>
      <c r="F283" s="1"/>
      <c r="G283" s="174"/>
      <c r="H283" s="3">
        <f>(I2/PI())*(C4/C6)*(C5/C4)^2</f>
        <v>7.7480921570984493E-5</v>
      </c>
      <c r="I283" s="53"/>
      <c r="J283" s="246">
        <f>(I2/PI())*(C4/C3)*(C5^2/C2^2)</f>
        <v>7.7480939769909471E-5</v>
      </c>
      <c r="K283" s="53"/>
      <c r="L283" s="246">
        <f>(I2/PI())*(C4/C6)*H302^2</f>
        <v>7.7480921570984493E-5</v>
      </c>
      <c r="M283" s="231" t="s">
        <v>259</v>
      </c>
    </row>
    <row r="284" spans="1:17" ht="50.1" customHeight="1" x14ac:dyDescent="0.25">
      <c r="B284" s="7" t="s">
        <v>260</v>
      </c>
      <c r="C284" s="229" t="s">
        <v>261</v>
      </c>
      <c r="D284" s="8">
        <f>(2*PI()*C10)/(2*I3)</f>
        <v>2.0678338484619295E-15</v>
      </c>
      <c r="E284" s="230" t="s">
        <v>262</v>
      </c>
      <c r="F284" s="1"/>
      <c r="G284" s="174"/>
      <c r="H284" s="3">
        <f>(PI()/SQRT(I2))*C6*(C4/C5)</f>
        <v>2.067833734443394E-15</v>
      </c>
      <c r="I284" s="53" t="s">
        <v>92</v>
      </c>
      <c r="J284" s="53" t="s">
        <v>92</v>
      </c>
      <c r="K284" s="53"/>
      <c r="L284" s="3">
        <f>(PI()/SQRT(I2))*(C6/H302)</f>
        <v>2.0678337344433944E-15</v>
      </c>
      <c r="M284" s="238" t="s">
        <v>263</v>
      </c>
    </row>
    <row r="285" spans="1:17" ht="50.1" customHeight="1" x14ac:dyDescent="0.25">
      <c r="B285" s="36" t="s">
        <v>264</v>
      </c>
      <c r="C285" s="247" t="s">
        <v>265</v>
      </c>
      <c r="D285" s="248">
        <f>I4*C8</f>
        <v>376.73031366685348</v>
      </c>
      <c r="E285" s="249" t="s">
        <v>246</v>
      </c>
      <c r="F285" s="18"/>
      <c r="G285" s="250"/>
      <c r="H285" s="251">
        <f>4*PI()*(C6/C4)*(C4/C5)^2</f>
        <v>376.73029289485129</v>
      </c>
      <c r="I285" s="252" t="s">
        <v>92</v>
      </c>
      <c r="J285" s="252" t="s">
        <v>92</v>
      </c>
      <c r="K285" s="250"/>
      <c r="L285" s="251">
        <f>4*PI()*(C6/C4)*(1/H302)^2</f>
        <v>376.73029289485129</v>
      </c>
      <c r="M285" s="238" t="s">
        <v>247</v>
      </c>
    </row>
    <row r="286" spans="1:17" s="1" customFormat="1" ht="20.100000000000001" customHeight="1" x14ac:dyDescent="0.25">
      <c r="B286" s="151"/>
      <c r="C286" s="46"/>
      <c r="D286" s="28"/>
      <c r="E286" s="28"/>
      <c r="F286" s="6"/>
      <c r="G286" s="6"/>
      <c r="H286" s="27"/>
      <c r="I286" s="3"/>
      <c r="J286" s="6"/>
      <c r="K286" s="3"/>
      <c r="L286" s="6"/>
      <c r="M286" s="3"/>
      <c r="N286" s="6"/>
      <c r="O286" s="6"/>
    </row>
    <row r="287" spans="1:17" s="1" customFormat="1" ht="20.100000000000001" customHeight="1" x14ac:dyDescent="0.25">
      <c r="B287" s="151"/>
      <c r="C287" s="46"/>
      <c r="D287" s="28"/>
      <c r="E287" s="28"/>
      <c r="F287" s="6"/>
      <c r="G287" s="6"/>
      <c r="H287" s="27"/>
      <c r="I287" s="3"/>
      <c r="J287" s="6"/>
      <c r="K287" s="3"/>
      <c r="L287" s="6"/>
      <c r="M287" s="3"/>
      <c r="N287" s="6"/>
      <c r="O287" s="6"/>
    </row>
    <row r="288" spans="1:17" s="1" customFormat="1" ht="20.100000000000001" customHeight="1" x14ac:dyDescent="0.25">
      <c r="B288" s="159"/>
      <c r="C288" s="132"/>
      <c r="D288" s="37"/>
      <c r="E288" s="37"/>
      <c r="F288" s="6"/>
      <c r="G288" s="6"/>
      <c r="H288" s="27"/>
      <c r="I288" s="3"/>
      <c r="J288" s="6"/>
      <c r="K288" s="3"/>
      <c r="L288" s="6"/>
      <c r="M288" s="3"/>
      <c r="N288" s="6"/>
      <c r="O288" s="6"/>
    </row>
    <row r="289" spans="1:15" s="1" customFormat="1" ht="20.100000000000001" customHeight="1" x14ac:dyDescent="0.25">
      <c r="B289" s="64" t="s">
        <v>266</v>
      </c>
      <c r="C289" s="46"/>
      <c r="D289" s="28"/>
      <c r="E289" s="28"/>
      <c r="F289" s="6"/>
      <c r="G289" s="6"/>
      <c r="H289" s="27"/>
      <c r="I289" s="3"/>
      <c r="J289" s="6"/>
      <c r="K289" s="3"/>
      <c r="L289" s="6"/>
      <c r="M289" s="3"/>
      <c r="N289" s="6"/>
      <c r="O289" s="6"/>
    </row>
    <row r="290" spans="1:15" s="1" customFormat="1" ht="20.100000000000001" customHeight="1" x14ac:dyDescent="0.25">
      <c r="B290" s="151"/>
      <c r="C290" s="46"/>
      <c r="D290" s="28"/>
      <c r="E290" s="28"/>
      <c r="F290" s="6"/>
      <c r="G290" s="6"/>
      <c r="H290" s="27"/>
      <c r="I290" s="3"/>
      <c r="J290" s="6"/>
      <c r="K290" s="3"/>
      <c r="L290" s="6"/>
      <c r="M290" s="3"/>
      <c r="N290" s="6"/>
      <c r="O290" s="6"/>
    </row>
    <row r="291" spans="1:15" s="1" customFormat="1" ht="20.100000000000001" customHeight="1" x14ac:dyDescent="0.25">
      <c r="B291" s="154" t="s">
        <v>267</v>
      </c>
      <c r="C291" s="9">
        <f>I4</f>
        <v>1.2566370621199999E-6</v>
      </c>
      <c r="D291" s="253">
        <v>1</v>
      </c>
      <c r="E291" s="28"/>
      <c r="F291" s="6"/>
      <c r="G291" s="6"/>
      <c r="H291" s="27"/>
      <c r="I291" s="3"/>
      <c r="J291" s="6"/>
      <c r="K291" s="3"/>
      <c r="L291" s="6"/>
      <c r="M291" s="3"/>
      <c r="N291" s="6"/>
      <c r="O291" s="6"/>
    </row>
    <row r="292" spans="1:15" s="1" customFormat="1" ht="20.100000000000001" customHeight="1" x14ac:dyDescent="0.35">
      <c r="B292" s="254" t="s">
        <v>268</v>
      </c>
      <c r="C292" s="255">
        <f>4*PI()*C7*(C4/C5)^2</f>
        <v>1.2566368452509652E-6</v>
      </c>
      <c r="D292" s="253">
        <f>C292/C291</f>
        <v>0.9999998274211056</v>
      </c>
      <c r="E292" s="28"/>
      <c r="F292" s="6"/>
      <c r="G292" s="6"/>
      <c r="H292" s="27"/>
      <c r="I292" s="3"/>
      <c r="J292" s="6"/>
      <c r="K292" s="3"/>
      <c r="L292" s="6"/>
      <c r="M292" s="3"/>
      <c r="N292" s="6"/>
      <c r="O292" s="6"/>
    </row>
    <row r="293" spans="1:15" s="1" customFormat="1" ht="20.100000000000001" customHeight="1" x14ac:dyDescent="0.25">
      <c r="B293" s="151"/>
      <c r="C293" s="46"/>
      <c r="D293" s="28"/>
      <c r="E293" s="28"/>
      <c r="F293" s="6"/>
      <c r="G293" s="6"/>
      <c r="H293" s="27"/>
      <c r="I293" s="3"/>
      <c r="J293" s="6"/>
      <c r="K293" s="3"/>
      <c r="L293" s="6"/>
      <c r="M293" s="3"/>
      <c r="N293" s="6"/>
      <c r="O293" s="6"/>
    </row>
    <row r="294" spans="1:15" s="1" customFormat="1" ht="20.100000000000001" customHeight="1" x14ac:dyDescent="0.25">
      <c r="B294" s="151"/>
      <c r="C294" s="46"/>
      <c r="D294" s="28"/>
      <c r="E294" s="28"/>
      <c r="F294" s="6"/>
      <c r="G294" s="6"/>
      <c r="H294" s="27"/>
      <c r="I294" s="3"/>
      <c r="J294" s="6"/>
      <c r="K294" s="3"/>
      <c r="L294" s="6"/>
      <c r="M294" s="3"/>
      <c r="N294" s="6"/>
      <c r="O294" s="6"/>
    </row>
    <row r="295" spans="1:15" s="1" customFormat="1" ht="20.100000000000001" customHeight="1" x14ac:dyDescent="0.25">
      <c r="B295" s="151"/>
      <c r="C295" s="46"/>
      <c r="D295" s="28"/>
      <c r="E295" s="28"/>
      <c r="F295" s="6"/>
      <c r="G295" s="6"/>
      <c r="H295" s="27"/>
      <c r="I295" s="3"/>
      <c r="J295" s="6"/>
      <c r="K295" s="3"/>
      <c r="L295" s="6"/>
      <c r="M295" s="3"/>
      <c r="N295" s="6"/>
      <c r="O295" s="6"/>
    </row>
    <row r="296" spans="1:15" s="1" customFormat="1" ht="20.100000000000001" customHeight="1" x14ac:dyDescent="0.25">
      <c r="B296" s="18"/>
      <c r="C296" s="132"/>
      <c r="D296" s="37"/>
      <c r="E296" s="37"/>
      <c r="F296" s="6"/>
      <c r="G296" s="6"/>
      <c r="H296" s="27"/>
      <c r="I296" s="3"/>
      <c r="J296" s="6"/>
      <c r="K296" s="3"/>
      <c r="L296" s="6"/>
      <c r="M296" s="3"/>
      <c r="N296" s="6"/>
      <c r="O296" s="6"/>
    </row>
    <row r="297" spans="1:15" s="1" customFormat="1" ht="20.100000000000001" customHeight="1" x14ac:dyDescent="0.25">
      <c r="B297" s="64" t="s">
        <v>269</v>
      </c>
      <c r="C297" s="46"/>
      <c r="D297" s="28"/>
      <c r="E297" s="28"/>
      <c r="F297" s="6"/>
      <c r="G297" s="6"/>
      <c r="H297" s="27"/>
      <c r="I297" s="3"/>
      <c r="J297" s="6"/>
      <c r="K297" s="3"/>
      <c r="L297" s="6"/>
      <c r="M297" s="3"/>
      <c r="N297" s="6"/>
      <c r="O297" s="6"/>
    </row>
    <row r="298" spans="1:15" s="1" customFormat="1" ht="20.100000000000001" customHeight="1" x14ac:dyDescent="0.25">
      <c r="B298" s="151"/>
      <c r="C298" s="46"/>
      <c r="D298" s="28"/>
      <c r="E298" s="28"/>
      <c r="F298" s="6"/>
      <c r="G298" s="6"/>
      <c r="H298" s="27"/>
      <c r="I298" s="3"/>
      <c r="J298" s="6"/>
      <c r="K298" s="3"/>
      <c r="L298" s="6"/>
      <c r="M298" s="3"/>
      <c r="N298" s="6"/>
      <c r="O298" s="6"/>
    </row>
    <row r="299" spans="1:15" s="1" customFormat="1" ht="20.100000000000001" customHeight="1" x14ac:dyDescent="0.25">
      <c r="B299" s="151"/>
      <c r="C299" s="46"/>
      <c r="D299" s="28"/>
      <c r="E299" s="28"/>
      <c r="F299" s="6"/>
      <c r="G299" s="6"/>
      <c r="H299" s="27"/>
      <c r="I299" s="3"/>
      <c r="J299" s="6"/>
      <c r="K299" s="3"/>
      <c r="L299" s="6"/>
      <c r="M299" s="3"/>
      <c r="N299" s="6"/>
      <c r="O299" s="6"/>
    </row>
    <row r="300" spans="1:15" s="1" customFormat="1" ht="20.100000000000001" customHeight="1" x14ac:dyDescent="0.25">
      <c r="B300" s="161" t="s">
        <v>270</v>
      </c>
      <c r="C300" s="46"/>
      <c r="D300" s="28"/>
      <c r="E300" s="28"/>
      <c r="F300" s="6"/>
      <c r="G300" s="6"/>
      <c r="H300" s="27"/>
      <c r="I300" s="3"/>
      <c r="J300" s="6"/>
      <c r="K300" s="3"/>
      <c r="L300" s="6"/>
      <c r="M300" s="3"/>
      <c r="N300" s="6"/>
      <c r="O300" s="6"/>
    </row>
    <row r="301" spans="1:15" s="228" customFormat="1" ht="39.950000000000003" customHeight="1" x14ac:dyDescent="0.25">
      <c r="A301" s="138"/>
      <c r="B301" s="118" t="s">
        <v>220</v>
      </c>
      <c r="C301" s="118" t="s">
        <v>221</v>
      </c>
      <c r="D301" s="118" t="s">
        <v>271</v>
      </c>
      <c r="E301" s="118" t="s">
        <v>223</v>
      </c>
      <c r="F301" s="118" t="s">
        <v>272</v>
      </c>
      <c r="G301" s="118" t="s">
        <v>273</v>
      </c>
      <c r="H301" s="227" t="s">
        <v>274</v>
      </c>
      <c r="I301" s="118" t="s">
        <v>226</v>
      </c>
      <c r="J301" s="227" t="s">
        <v>274</v>
      </c>
      <c r="K301" s="227" t="s">
        <v>226</v>
      </c>
      <c r="L301" s="227" t="s">
        <v>274</v>
      </c>
      <c r="M301" s="227" t="s">
        <v>275</v>
      </c>
    </row>
    <row r="302" spans="1:15" s="1" customFormat="1" ht="50.1" customHeight="1" x14ac:dyDescent="0.25">
      <c r="B302" s="7" t="s">
        <v>276</v>
      </c>
      <c r="C302" s="256" t="s">
        <v>277</v>
      </c>
      <c r="D302" s="3">
        <f>SQRT((4*PI()*C8^6*I5)/C11)</f>
        <v>3.4788727537513821E+25</v>
      </c>
      <c r="E302" s="141" t="s">
        <v>278</v>
      </c>
      <c r="G302" s="174"/>
      <c r="H302" s="3">
        <f>C5/C4</f>
        <v>3.4788723977582744E+25</v>
      </c>
      <c r="I302" s="53" t="s">
        <v>92</v>
      </c>
      <c r="J302" s="53" t="s">
        <v>92</v>
      </c>
      <c r="M302" s="240" t="s">
        <v>278</v>
      </c>
      <c r="N302" s="3"/>
    </row>
    <row r="303" spans="1:15" s="1" customFormat="1" ht="50.1" customHeight="1" x14ac:dyDescent="0.25">
      <c r="B303" s="7" t="s">
        <v>279</v>
      </c>
      <c r="C303" s="229" t="s">
        <v>280</v>
      </c>
      <c r="D303" s="3">
        <f>SQRT(C8^4/(4*PI()*C11*I5))</f>
        <v>1.0429398144841067E+27</v>
      </c>
      <c r="E303" s="141" t="s">
        <v>281</v>
      </c>
      <c r="F303" s="28"/>
      <c r="G303" s="6"/>
      <c r="H303" s="3">
        <f>(C6/C4)*(1/H302)</f>
        <v>1.0429396502548745E+27</v>
      </c>
      <c r="I303" s="6"/>
      <c r="J303" s="3">
        <f>C6/C5</f>
        <v>1.0429396502548745E+27</v>
      </c>
      <c r="K303" s="27"/>
      <c r="L303" s="3">
        <f>(C6/C4)*(C4/C5)</f>
        <v>1.0429396502548745E+27</v>
      </c>
      <c r="M303" s="56" t="s">
        <v>282</v>
      </c>
    </row>
    <row r="304" spans="1:15" ht="50.1" customHeight="1" x14ac:dyDescent="0.25">
      <c r="B304" s="7" t="s">
        <v>283</v>
      </c>
      <c r="C304" s="229" t="s">
        <v>284</v>
      </c>
      <c r="D304" s="4">
        <f>1/(4*PI()*I5*C8)</f>
        <v>29.97924581631997</v>
      </c>
      <c r="E304" s="240" t="s">
        <v>246</v>
      </c>
      <c r="F304" s="1"/>
      <c r="G304" s="1"/>
      <c r="H304" s="3">
        <f>(C6/C4)*(1/H302)^2</f>
        <v>29.979244163336563</v>
      </c>
      <c r="J304" s="3">
        <f>(C3/C4)*(C2/C5)^2</f>
        <v>29.979237121733604</v>
      </c>
      <c r="K304" s="1"/>
      <c r="L304" s="3">
        <f>(C6/C4)*(C4/C5)^2</f>
        <v>29.979244163336563</v>
      </c>
      <c r="M304" s="56" t="s">
        <v>285</v>
      </c>
      <c r="N304" s="3"/>
    </row>
    <row r="305" spans="2:15" s="1" customFormat="1" ht="50.1" customHeight="1" x14ac:dyDescent="0.25">
      <c r="B305" s="7" t="s">
        <v>286</v>
      </c>
      <c r="C305" s="229" t="s">
        <v>287</v>
      </c>
      <c r="D305" s="3">
        <f>(1/(4*PI()*I5))*SQRT(C10*C11/C8^7)</f>
        <v>1.6162550253035552E-42</v>
      </c>
      <c r="E305" s="141" t="s">
        <v>288</v>
      </c>
      <c r="F305" s="28"/>
      <c r="G305" s="6"/>
      <c r="H305" s="3">
        <f>C6*(1/H302)^2</f>
        <v>1.6162551015785576E-42</v>
      </c>
      <c r="I305" s="6"/>
      <c r="J305" s="3">
        <f>C3*(C2/C5)^2</f>
        <v>1.6162547219483492E-42</v>
      </c>
      <c r="K305" s="27"/>
      <c r="L305" s="3">
        <f>C6*(C4/C5)^2</f>
        <v>1.6162551015785576E-42</v>
      </c>
      <c r="M305" s="56" t="s">
        <v>289</v>
      </c>
    </row>
    <row r="306" spans="2:15" s="1" customFormat="1" ht="50.1" customHeight="1" x14ac:dyDescent="0.25">
      <c r="B306" s="7" t="s">
        <v>290</v>
      </c>
      <c r="C306" s="229" t="s">
        <v>291</v>
      </c>
      <c r="D306" s="3">
        <f>SQRT(C8^5/(4*PI()*I5*C10*C11^2))</f>
        <v>2.1524281150405885E+53</v>
      </c>
      <c r="E306" s="141" t="s">
        <v>44</v>
      </c>
      <c r="F306" s="28"/>
      <c r="G306" s="6"/>
      <c r="H306" s="3">
        <f>(C3/C4^2)*(1/H302)</f>
        <v>2.1524275558449228E+53</v>
      </c>
      <c r="I306" s="6"/>
      <c r="J306" s="3">
        <f>C3/(C4*C5)</f>
        <v>2.1524275558449232E+53</v>
      </c>
      <c r="K306" s="27"/>
      <c r="L306" s="3">
        <f>(C3/C4^2)*(C4/C5)</f>
        <v>2.1524275558449228E+53</v>
      </c>
      <c r="M306" s="56" t="s">
        <v>292</v>
      </c>
    </row>
    <row r="307" spans="2:15" s="1" customFormat="1" ht="50.1" customHeight="1" x14ac:dyDescent="0.25">
      <c r="B307" s="7" t="s">
        <v>293</v>
      </c>
      <c r="C307" s="229" t="s">
        <v>294</v>
      </c>
      <c r="D307" s="4">
        <f>4*PI()*I5*C8</f>
        <v>3.3356409501656789E-2</v>
      </c>
      <c r="E307" s="141" t="s">
        <v>258</v>
      </c>
      <c r="F307" s="28"/>
      <c r="G307" s="6"/>
      <c r="H307" s="3">
        <f>(C4/C6)*H302^2</f>
        <v>3.3356411340848956E-2</v>
      </c>
      <c r="I307" s="6"/>
      <c r="J307" s="3">
        <f>(C4/C3)*(C5/C2)^2</f>
        <v>3.3356419175691598E-2</v>
      </c>
      <c r="K307" s="27"/>
      <c r="L307" s="3">
        <f>(C4/C6)*(C5/C4)^2</f>
        <v>3.3356411340848956E-2</v>
      </c>
      <c r="M307" s="240" t="s">
        <v>295</v>
      </c>
    </row>
    <row r="308" spans="2:15" s="1" customFormat="1" ht="50.1" customHeight="1" x14ac:dyDescent="0.25">
      <c r="B308" s="7" t="s">
        <v>296</v>
      </c>
      <c r="C308" s="229" t="s">
        <v>297</v>
      </c>
      <c r="D308" s="3">
        <f>4*PI()*I5*SQRT((C10*C11)/C8^3)</f>
        <v>1.7983262425430131E-45</v>
      </c>
      <c r="E308" s="141" t="s">
        <v>298</v>
      </c>
      <c r="F308" s="28"/>
      <c r="G308" s="6"/>
      <c r="H308" s="3">
        <f>(C4^2/C6)*H302^2</f>
        <v>1.7983265257211792E-45</v>
      </c>
      <c r="I308" s="6"/>
      <c r="J308" s="3">
        <f>C5^2/C6</f>
        <v>1.7983265257211795E-45</v>
      </c>
      <c r="K308" s="27"/>
      <c r="L308" s="3">
        <f>(C4^2/C6)*(C5/C4)^2</f>
        <v>1.7983265257211792E-45</v>
      </c>
      <c r="M308" s="240" t="s">
        <v>299</v>
      </c>
    </row>
    <row r="309" spans="2:15" s="1" customFormat="1" ht="50.1" customHeight="1" x14ac:dyDescent="0.25">
      <c r="B309" s="36" t="s">
        <v>300</v>
      </c>
      <c r="C309" s="257" t="s">
        <v>301</v>
      </c>
      <c r="D309" s="258">
        <f>SQRT(C10/(4*PI()*I5*C8))</f>
        <v>5.62274557064229E-17</v>
      </c>
      <c r="E309" s="259" t="s">
        <v>262</v>
      </c>
      <c r="F309" s="37"/>
      <c r="G309" s="134"/>
      <c r="H309" s="20">
        <f>C6*(1/H302)</f>
        <v>5.6227452606176407E-17</v>
      </c>
      <c r="I309" s="252" t="s">
        <v>92</v>
      </c>
      <c r="J309" s="252" t="s">
        <v>92</v>
      </c>
      <c r="K309" s="133"/>
      <c r="L309" s="20">
        <f>C6*(C4/C5)</f>
        <v>5.6227452606176407E-17</v>
      </c>
      <c r="M309" s="260" t="s">
        <v>302</v>
      </c>
      <c r="N309" s="3"/>
    </row>
    <row r="310" spans="2:15" s="1" customFormat="1" ht="20.100000000000001" customHeight="1" x14ac:dyDescent="0.25">
      <c r="B310" s="45"/>
      <c r="C310" s="261"/>
      <c r="D310" s="261"/>
      <c r="E310" s="261"/>
      <c r="F310" s="6"/>
      <c r="G310" s="6"/>
      <c r="H310" s="27"/>
      <c r="I310" s="27"/>
      <c r="J310" s="6"/>
      <c r="K310" s="6"/>
      <c r="L310" s="6"/>
      <c r="M310" s="6"/>
      <c r="N310" s="6"/>
      <c r="O310" s="6"/>
    </row>
    <row r="311" spans="2:15" s="1" customFormat="1" ht="20.100000000000001" customHeight="1" x14ac:dyDescent="0.25">
      <c r="B311" s="45"/>
      <c r="C311" s="261"/>
      <c r="D311" s="261"/>
      <c r="E311" s="261"/>
      <c r="F311" s="6"/>
      <c r="G311" s="6"/>
      <c r="H311" s="27"/>
      <c r="I311" s="27"/>
      <c r="J311" s="6"/>
      <c r="K311" s="6"/>
      <c r="L311" s="6"/>
      <c r="M311" s="6"/>
      <c r="N311" s="6"/>
      <c r="O311" s="6"/>
    </row>
    <row r="312" spans="2:15" s="1" customFormat="1" ht="20.100000000000001" customHeight="1" x14ac:dyDescent="0.25">
      <c r="B312" s="45"/>
      <c r="C312" s="261"/>
      <c r="D312" s="261"/>
      <c r="E312" s="261"/>
      <c r="F312" s="6"/>
      <c r="G312" s="6"/>
      <c r="H312" s="27"/>
      <c r="I312" s="27"/>
      <c r="J312" s="6"/>
      <c r="K312" s="6"/>
      <c r="L312" s="6"/>
      <c r="M312" s="6"/>
      <c r="N312" s="6"/>
      <c r="O312" s="6"/>
    </row>
    <row r="313" spans="2:15" s="1" customFormat="1" ht="20.100000000000001" customHeight="1" x14ac:dyDescent="0.25">
      <c r="B313" s="45"/>
      <c r="C313" s="261"/>
      <c r="D313" s="261"/>
      <c r="E313" s="261"/>
      <c r="F313" s="6"/>
      <c r="G313" s="6"/>
      <c r="H313" s="27"/>
      <c r="I313" s="27"/>
      <c r="J313" s="6"/>
      <c r="K313" s="6"/>
      <c r="L313" s="6"/>
      <c r="M313" s="6"/>
      <c r="N313" s="6"/>
      <c r="O313" s="6"/>
    </row>
    <row r="314" spans="2:15" s="1" customFormat="1" ht="20.100000000000001" customHeight="1" x14ac:dyDescent="0.25">
      <c r="B314" s="45"/>
      <c r="C314" s="261"/>
      <c r="D314" s="261"/>
      <c r="E314" s="261"/>
      <c r="F314" s="6"/>
      <c r="G314" s="6"/>
      <c r="H314" s="27"/>
      <c r="I314" s="27"/>
      <c r="J314" s="6"/>
      <c r="K314" s="6"/>
      <c r="L314" s="6"/>
      <c r="M314" s="6"/>
      <c r="N314" s="6"/>
      <c r="O314" s="6"/>
    </row>
    <row r="315" spans="2:15" s="1" customFormat="1" ht="20.100000000000001" customHeight="1" x14ac:dyDescent="0.25">
      <c r="B315" s="51"/>
      <c r="C315" s="262"/>
      <c r="D315" s="262"/>
      <c r="E315" s="262"/>
      <c r="F315" s="134"/>
      <c r="G315" s="134"/>
      <c r="H315" s="133"/>
      <c r="I315" s="133"/>
      <c r="J315" s="6"/>
      <c r="K315" s="6"/>
      <c r="L315" s="6"/>
      <c r="M315" s="6"/>
      <c r="N315" s="6"/>
      <c r="O315" s="6"/>
    </row>
    <row r="316" spans="2:15" s="1" customFormat="1" ht="20.100000000000001" customHeight="1" x14ac:dyDescent="0.25">
      <c r="B316" s="263" t="s">
        <v>303</v>
      </c>
      <c r="C316" s="261"/>
      <c r="D316" s="261"/>
      <c r="E316" s="261"/>
      <c r="F316" s="6"/>
      <c r="G316" s="6"/>
      <c r="H316" s="27"/>
      <c r="I316" s="27"/>
      <c r="J316" s="6"/>
      <c r="K316" s="6"/>
      <c r="L316" s="6"/>
      <c r="M316" s="6"/>
      <c r="N316" s="6"/>
      <c r="O316" s="6"/>
    </row>
    <row r="317" spans="2:15" s="1" customFormat="1" ht="20.100000000000001" customHeight="1" x14ac:dyDescent="0.25">
      <c r="B317" s="45"/>
      <c r="C317" s="261"/>
      <c r="D317" s="261"/>
      <c r="E317" s="261"/>
      <c r="F317" s="6"/>
      <c r="G317" s="6"/>
      <c r="H317" s="27"/>
      <c r="I317" s="27"/>
      <c r="J317" s="6"/>
      <c r="K317" s="6"/>
      <c r="L317" s="6"/>
      <c r="M317" s="6"/>
      <c r="N317" s="6"/>
      <c r="O317" s="6"/>
    </row>
    <row r="318" spans="2:15" s="1" customFormat="1" ht="20.100000000000001" customHeight="1" x14ac:dyDescent="0.25">
      <c r="F318" s="6"/>
      <c r="G318" s="6"/>
      <c r="H318" s="27"/>
      <c r="I318" s="27"/>
      <c r="J318" s="6"/>
      <c r="K318" s="6"/>
      <c r="L318" s="6"/>
      <c r="M318" s="6"/>
      <c r="N318" s="6"/>
      <c r="O318" s="6"/>
    </row>
    <row r="319" spans="2:15" s="1" customFormat="1" ht="20.100000000000001" customHeight="1" x14ac:dyDescent="0.25">
      <c r="B319" s="229" t="s">
        <v>304</v>
      </c>
      <c r="C319" s="15">
        <f>I9</f>
        <v>10973731.568159999</v>
      </c>
      <c r="D319" s="53" t="s">
        <v>166</v>
      </c>
      <c r="E319" s="152">
        <f>1</f>
        <v>1</v>
      </c>
      <c r="F319" s="6"/>
      <c r="G319" s="6"/>
      <c r="H319" s="27"/>
      <c r="I319" s="27"/>
      <c r="J319" s="6"/>
      <c r="K319" s="6"/>
      <c r="L319" s="6"/>
      <c r="M319" s="6"/>
      <c r="N319" s="6"/>
      <c r="O319" s="6"/>
    </row>
    <row r="320" spans="2:15" s="1" customFormat="1" ht="20.100000000000001" customHeight="1" x14ac:dyDescent="0.25">
      <c r="B320" s="229" t="s">
        <v>304</v>
      </c>
      <c r="C320" s="15">
        <f>(F3*I3^4)/(8*I5^2*C9^3*C8)</f>
        <v>10973731.568071619</v>
      </c>
      <c r="D320" s="233" t="s">
        <v>305</v>
      </c>
      <c r="E320" s="152">
        <f>C320/$C$319</f>
        <v>0.99999999999194611</v>
      </c>
      <c r="F320" s="6"/>
      <c r="G320" s="6"/>
      <c r="H320" s="27"/>
      <c r="I320" s="27"/>
      <c r="J320" s="6"/>
      <c r="K320" s="6"/>
      <c r="L320" s="6"/>
      <c r="M320" s="6"/>
      <c r="N320" s="6"/>
      <c r="O320" s="6"/>
    </row>
    <row r="321" spans="1:15" s="1" customFormat="1" ht="20.100000000000001" customHeight="1" x14ac:dyDescent="0.25">
      <c r="B321" s="229" t="s">
        <v>304</v>
      </c>
      <c r="C321" s="15">
        <f>(F3*I2^2*C8)/(2*C9)</f>
        <v>10973731.568138644</v>
      </c>
      <c r="D321" s="233" t="s">
        <v>306</v>
      </c>
      <c r="E321" s="152">
        <f>C321/$C$319</f>
        <v>0.999999999998054</v>
      </c>
      <c r="F321" s="6"/>
      <c r="G321" s="6"/>
      <c r="H321" s="27"/>
      <c r="I321" s="27"/>
      <c r="J321" s="6"/>
      <c r="K321" s="6"/>
      <c r="L321" s="6"/>
      <c r="M321" s="6"/>
      <c r="N321" s="6"/>
      <c r="O321" s="6"/>
    </row>
    <row r="322" spans="1:15" s="1" customFormat="1" ht="20.100000000000001" customHeight="1" x14ac:dyDescent="0.25">
      <c r="B322" s="229" t="s">
        <v>304</v>
      </c>
      <c r="C322" s="3">
        <f>(1/(4*PI()))*(F3/C3)*(1/C2)*I2^2</f>
        <v>10973733.461973432</v>
      </c>
      <c r="D322" s="233" t="s">
        <v>307</v>
      </c>
      <c r="E322" s="264">
        <f>C322/$C$319</f>
        <v>1.0000001725769783</v>
      </c>
      <c r="F322" s="6"/>
      <c r="G322" s="6"/>
      <c r="H322" s="27"/>
      <c r="I322" s="27"/>
      <c r="J322" s="6"/>
      <c r="K322" s="6"/>
      <c r="L322" s="6"/>
      <c r="M322" s="6"/>
      <c r="N322" s="6"/>
      <c r="O322" s="6"/>
    </row>
    <row r="323" spans="1:15" s="1" customFormat="1" ht="20.100000000000001" customHeight="1" x14ac:dyDescent="0.25">
      <c r="F323" s="6"/>
      <c r="G323" s="6"/>
      <c r="H323" s="27"/>
      <c r="I323" s="27"/>
      <c r="J323" s="6"/>
      <c r="K323" s="6"/>
      <c r="L323" s="6"/>
      <c r="M323" s="6"/>
      <c r="N323" s="6"/>
      <c r="O323" s="6"/>
    </row>
    <row r="324" spans="1:15" s="1" customFormat="1" ht="20.100000000000001" customHeight="1" x14ac:dyDescent="0.25">
      <c r="B324" s="18"/>
      <c r="C324" s="132"/>
      <c r="D324" s="37"/>
      <c r="E324" s="37"/>
      <c r="F324" s="6"/>
      <c r="G324" s="6"/>
      <c r="H324" s="27"/>
      <c r="I324" s="27"/>
      <c r="J324" s="6"/>
      <c r="K324" s="6"/>
      <c r="L324" s="6"/>
      <c r="M324" s="6"/>
      <c r="N324" s="6"/>
      <c r="O324" s="6"/>
    </row>
    <row r="325" spans="1:15" s="1" customFormat="1" ht="20.100000000000001" customHeight="1" x14ac:dyDescent="0.25">
      <c r="B325" s="64" t="s">
        <v>308</v>
      </c>
      <c r="C325" s="46"/>
      <c r="D325" s="28"/>
      <c r="E325" s="28"/>
      <c r="F325" s="6"/>
      <c r="G325" s="6"/>
      <c r="H325" s="27"/>
      <c r="I325" s="27"/>
      <c r="J325" s="6"/>
      <c r="K325" s="6"/>
      <c r="L325" s="6"/>
      <c r="M325" s="6"/>
      <c r="N325" s="6"/>
      <c r="O325" s="6"/>
    </row>
    <row r="326" spans="1:15" s="1" customFormat="1" ht="20.100000000000001" customHeight="1" x14ac:dyDescent="0.25">
      <c r="F326" s="6"/>
      <c r="G326" s="6"/>
      <c r="H326" s="27"/>
      <c r="I326" s="27"/>
      <c r="J326" s="6"/>
      <c r="K326" s="6"/>
      <c r="L326" s="6"/>
      <c r="M326" s="6"/>
      <c r="N326" s="6"/>
      <c r="O326" s="6"/>
    </row>
    <row r="327" spans="1:15" s="268" customFormat="1" ht="20.100000000000001" customHeight="1" x14ac:dyDescent="0.25">
      <c r="A327" s="265"/>
      <c r="B327" s="265"/>
      <c r="C327" s="266" t="s">
        <v>309</v>
      </c>
      <c r="D327" s="265"/>
      <c r="E327" s="266" t="s">
        <v>310</v>
      </c>
      <c r="F327" s="265"/>
      <c r="G327" s="266" t="s">
        <v>311</v>
      </c>
      <c r="H327" s="265"/>
      <c r="I327" s="265"/>
      <c r="J327" s="265"/>
      <c r="K327" s="265"/>
      <c r="L327" s="265"/>
      <c r="M327" s="265"/>
      <c r="N327" s="265"/>
      <c r="O327" s="267"/>
    </row>
    <row r="328" spans="1:15" s="1" customFormat="1" ht="20.100000000000001" customHeight="1" x14ac:dyDescent="0.25">
      <c r="A328"/>
      <c r="B328"/>
      <c r="C328"/>
      <c r="D328"/>
      <c r="E328"/>
      <c r="F328"/>
      <c r="G328"/>
      <c r="H328"/>
      <c r="I328"/>
      <c r="J328"/>
      <c r="K328"/>
      <c r="L328"/>
      <c r="M328"/>
      <c r="N328"/>
      <c r="O328" s="6"/>
    </row>
    <row r="329" spans="1:15" s="1" customFormat="1" ht="20.100000000000001" customHeight="1" x14ac:dyDescent="0.25">
      <c r="A329"/>
      <c r="B329"/>
      <c r="C329"/>
      <c r="D329"/>
      <c r="E329"/>
      <c r="F329"/>
      <c r="G329"/>
      <c r="H329"/>
      <c r="I329"/>
      <c r="J329"/>
      <c r="K329"/>
      <c r="L329"/>
      <c r="M329"/>
      <c r="N329"/>
      <c r="O329" s="6"/>
    </row>
    <row r="330" spans="1:15" s="1" customFormat="1" ht="20.100000000000001" customHeight="1" x14ac:dyDescent="0.25">
      <c r="A330"/>
      <c r="B330"/>
      <c r="C330"/>
      <c r="D330"/>
      <c r="E330"/>
      <c r="F330"/>
      <c r="G330"/>
      <c r="H330"/>
      <c r="I330"/>
      <c r="J330"/>
      <c r="K330"/>
      <c r="L330"/>
      <c r="M330"/>
      <c r="N330"/>
      <c r="O330" s="6"/>
    </row>
    <row r="331" spans="1:15" s="1" customFormat="1" ht="20.100000000000001" customHeight="1" x14ac:dyDescent="0.25">
      <c r="A331"/>
      <c r="B331"/>
      <c r="C331"/>
      <c r="D331"/>
      <c r="E331"/>
      <c r="F331"/>
      <c r="G331"/>
      <c r="H331"/>
      <c r="I331"/>
      <c r="J331"/>
      <c r="K331"/>
      <c r="L331"/>
      <c r="M331"/>
      <c r="N331"/>
      <c r="O331" s="6"/>
    </row>
    <row r="332" spans="1:15" s="1" customFormat="1" ht="20.100000000000001" customHeight="1" x14ac:dyDescent="0.25">
      <c r="A332"/>
      <c r="B332"/>
      <c r="C332"/>
      <c r="D332"/>
      <c r="E332"/>
      <c r="F332"/>
      <c r="G332"/>
      <c r="H332"/>
      <c r="I332"/>
      <c r="J332"/>
      <c r="K332"/>
      <c r="L332"/>
      <c r="M332"/>
      <c r="N332"/>
      <c r="O332" s="6"/>
    </row>
    <row r="333" spans="1:15" s="1" customFormat="1" ht="20.100000000000001" customHeight="1" x14ac:dyDescent="0.25">
      <c r="A333"/>
      <c r="B333"/>
      <c r="C333" s="269" t="s">
        <v>312</v>
      </c>
      <c r="D333" s="270">
        <v>5778</v>
      </c>
      <c r="E333" s="56" t="s">
        <v>313</v>
      </c>
      <c r="F333"/>
      <c r="G333"/>
      <c r="H333"/>
      <c r="I333"/>
      <c r="J333"/>
      <c r="K333"/>
      <c r="L333"/>
      <c r="M333"/>
      <c r="N333"/>
      <c r="O333" s="6"/>
    </row>
    <row r="334" spans="1:15" s="1" customFormat="1" ht="20.100000000000001" customHeight="1" x14ac:dyDescent="0.25">
      <c r="A334"/>
      <c r="B334"/>
      <c r="C334" s="269" t="s">
        <v>314</v>
      </c>
      <c r="D334" s="28">
        <f>4*PI()*F9^2</f>
        <v>6.0900801058522573E+18</v>
      </c>
      <c r="E334" s="56" t="s">
        <v>315</v>
      </c>
      <c r="F334"/>
      <c r="G334"/>
      <c r="H334"/>
      <c r="I334"/>
      <c r="J334"/>
      <c r="K334"/>
      <c r="L334"/>
      <c r="M334"/>
      <c r="N334"/>
      <c r="O334" s="6"/>
    </row>
    <row r="335" spans="1:15" s="1" customFormat="1" ht="20.100000000000001" customHeight="1" x14ac:dyDescent="0.25">
      <c r="A335"/>
      <c r="B335"/>
      <c r="C335"/>
      <c r="D335"/>
      <c r="E335"/>
      <c r="F335"/>
      <c r="G335"/>
      <c r="H335"/>
      <c r="I335"/>
      <c r="J335"/>
      <c r="K335"/>
      <c r="L335"/>
      <c r="M335"/>
      <c r="N335"/>
      <c r="O335" s="6"/>
    </row>
    <row r="336" spans="1:15" s="1" customFormat="1" ht="20.100000000000001" customHeight="1" x14ac:dyDescent="0.25">
      <c r="A336"/>
      <c r="B336"/>
      <c r="C336"/>
      <c r="D336" s="271"/>
      <c r="E336" s="271"/>
      <c r="F336" s="271"/>
      <c r="G336" s="271"/>
      <c r="H336" s="271"/>
      <c r="I336"/>
      <c r="J336"/>
      <c r="K336"/>
      <c r="L336"/>
      <c r="M336"/>
      <c r="N336"/>
      <c r="O336" s="6"/>
    </row>
    <row r="337" spans="1:18" s="1" customFormat="1" ht="60" customHeight="1" x14ac:dyDescent="0.25">
      <c r="A337"/>
      <c r="B337" s="272"/>
      <c r="C337" s="272"/>
      <c r="D337" s="273" t="s">
        <v>220</v>
      </c>
      <c r="E337" s="274" t="s">
        <v>316</v>
      </c>
      <c r="F337" s="275" t="s">
        <v>317</v>
      </c>
      <c r="G337" s="274" t="s">
        <v>318</v>
      </c>
      <c r="H337" s="274" t="s">
        <v>319</v>
      </c>
      <c r="I337"/>
      <c r="J337" s="276"/>
      <c r="K337" s="276"/>
      <c r="L337" s="276"/>
      <c r="M337"/>
      <c r="N337" s="276"/>
      <c r="O337" s="6"/>
    </row>
    <row r="338" spans="1:18" s="1" customFormat="1" ht="65.099999999999994" customHeight="1" x14ac:dyDescent="0.25">
      <c r="A338"/>
      <c r="B338"/>
      <c r="C338"/>
      <c r="D338"/>
      <c r="E338"/>
      <c r="F338"/>
      <c r="G338"/>
      <c r="H338"/>
      <c r="I338"/>
      <c r="J338"/>
      <c r="K338"/>
      <c r="L338"/>
      <c r="M338"/>
      <c r="N338"/>
      <c r="O338" s="6"/>
    </row>
    <row r="339" spans="1:18" s="1" customFormat="1" ht="24.95" customHeight="1" thickBot="1" x14ac:dyDescent="0.3">
      <c r="A339" s="56"/>
      <c r="B339" s="56"/>
      <c r="C339" s="56"/>
      <c r="D339" s="277" t="s">
        <v>320</v>
      </c>
      <c r="E339" s="278" t="s">
        <v>321</v>
      </c>
      <c r="F339" s="277" t="s">
        <v>322</v>
      </c>
      <c r="G339" s="278" t="s">
        <v>323</v>
      </c>
      <c r="H339" s="277" t="s">
        <v>322</v>
      </c>
      <c r="I339" s="56"/>
      <c r="J339" s="56"/>
      <c r="K339" s="56"/>
      <c r="L339" s="56"/>
      <c r="M339" s="56"/>
      <c r="N339" s="56"/>
      <c r="O339" s="6"/>
    </row>
    <row r="340" spans="1:18" s="1" customFormat="1" ht="20.100000000000001" customHeight="1" thickTop="1" x14ac:dyDescent="0.25">
      <c r="A340" s="279"/>
      <c r="B340" s="279"/>
      <c r="C340" s="279"/>
      <c r="D340" s="280">
        <f>PI()^2/60</f>
        <v>0.16449340668482262</v>
      </c>
      <c r="E340" s="144">
        <f>H351</f>
        <v>2.7662769002123077E-114</v>
      </c>
      <c r="F340" s="144">
        <f>C6/C4</f>
        <v>3.6282539617993513E+52</v>
      </c>
      <c r="G340" s="144">
        <f>K351</f>
        <v>2.3313272624853919E+88</v>
      </c>
      <c r="H340" s="144">
        <f>D340*E340*G340*F340</f>
        <v>3.8489747821596798E+26</v>
      </c>
      <c r="I340" s="279"/>
      <c r="J340" s="279"/>
      <c r="K340" s="279"/>
      <c r="L340" s="279"/>
      <c r="M340" s="279"/>
      <c r="N340" s="279"/>
      <c r="O340" s="6"/>
    </row>
    <row r="341" spans="1:18" s="1" customFormat="1" ht="20.100000000000001" customHeight="1" x14ac:dyDescent="0.25">
      <c r="A341" s="56"/>
      <c r="B341" s="56"/>
      <c r="C341" s="56"/>
      <c r="D341" s="56"/>
      <c r="E341" s="141"/>
      <c r="F341" s="56"/>
      <c r="G341" s="141"/>
      <c r="H341" s="56"/>
      <c r="I341" s="56"/>
      <c r="J341" s="56"/>
      <c r="K341" s="56"/>
      <c r="L341" s="56"/>
      <c r="M341" s="56"/>
      <c r="N341" s="56"/>
      <c r="O341" s="6"/>
    </row>
    <row r="342" spans="1:18" s="1" customFormat="1" ht="20.100000000000001" customHeight="1" x14ac:dyDescent="0.25">
      <c r="A342" s="56"/>
      <c r="B342" s="56"/>
      <c r="C342" s="56"/>
      <c r="D342" s="56"/>
      <c r="E342" s="141"/>
      <c r="F342" s="56"/>
      <c r="G342" s="141"/>
      <c r="H342" s="56"/>
      <c r="I342" s="56"/>
      <c r="J342" s="56"/>
      <c r="K342" s="56"/>
      <c r="L342" s="56"/>
      <c r="M342" s="56"/>
      <c r="N342" s="56"/>
      <c r="O342" s="6"/>
    </row>
    <row r="343" spans="1:18" s="1" customFormat="1" ht="20.100000000000001" customHeight="1" x14ac:dyDescent="0.25">
      <c r="A343"/>
      <c r="B343"/>
      <c r="C343"/>
      <c r="D343"/>
      <c r="E343"/>
      <c r="F343"/>
      <c r="G343"/>
      <c r="H343"/>
      <c r="I343"/>
      <c r="J343"/>
      <c r="K343"/>
      <c r="L343"/>
      <c r="M343"/>
      <c r="N343"/>
      <c r="O343" s="6"/>
    </row>
    <row r="344" spans="1:18" s="1" customFormat="1" ht="20.100000000000001" customHeight="1" x14ac:dyDescent="0.25">
      <c r="A344"/>
      <c r="B344"/>
      <c r="C344"/>
      <c r="D344"/>
      <c r="E344"/>
      <c r="F344"/>
      <c r="G344"/>
      <c r="H344"/>
      <c r="I344"/>
      <c r="J344"/>
      <c r="K344"/>
      <c r="L344"/>
      <c r="M344"/>
      <c r="N344"/>
      <c r="O344" s="6"/>
    </row>
    <row r="345" spans="1:18" s="1" customFormat="1" ht="20.100000000000001" customHeight="1" x14ac:dyDescent="0.25">
      <c r="A345"/>
      <c r="B345"/>
      <c r="C345"/>
      <c r="D345"/>
      <c r="E345"/>
      <c r="F345"/>
      <c r="G345"/>
      <c r="H345"/>
      <c r="I345"/>
      <c r="J345"/>
      <c r="K345"/>
      <c r="L345"/>
      <c r="M345"/>
      <c r="N345"/>
      <c r="O345" s="6"/>
    </row>
    <row r="346" spans="1:18" s="1" customFormat="1" ht="20.100000000000001" customHeight="1" x14ac:dyDescent="0.25">
      <c r="A346"/>
      <c r="B346" s="281" t="s">
        <v>324</v>
      </c>
      <c r="C346"/>
      <c r="D346" s="281" t="s">
        <v>325</v>
      </c>
      <c r="E346"/>
      <c r="F346"/>
      <c r="G346"/>
      <c r="H346"/>
      <c r="I346"/>
      <c r="J346"/>
      <c r="K346"/>
      <c r="L346"/>
      <c r="M346"/>
      <c r="N346"/>
      <c r="O346" s="6"/>
    </row>
    <row r="347" spans="1:18" s="1" customFormat="1" ht="20.100000000000001" customHeight="1" x14ac:dyDescent="0.25">
      <c r="A347"/>
      <c r="B347" s="271"/>
      <c r="C347"/>
      <c r="D347" s="271"/>
      <c r="E347" s="271"/>
      <c r="F347" s="271"/>
      <c r="G347" s="271"/>
      <c r="H347" s="271"/>
      <c r="I347" s="271"/>
      <c r="J347" s="271"/>
      <c r="K347" s="271"/>
      <c r="L347" s="271"/>
      <c r="M347" s="271"/>
      <c r="N347"/>
      <c r="O347" s="6"/>
    </row>
    <row r="348" spans="1:18" s="1" customFormat="1" ht="60" customHeight="1" x14ac:dyDescent="0.25">
      <c r="A348" s="276"/>
      <c r="B348" s="273" t="s">
        <v>324</v>
      </c>
      <c r="C348" s="272"/>
      <c r="D348" s="273" t="s">
        <v>326</v>
      </c>
      <c r="E348" s="273" t="s">
        <v>327</v>
      </c>
      <c r="F348" s="273" t="s">
        <v>328</v>
      </c>
      <c r="G348" s="273" t="s">
        <v>329</v>
      </c>
      <c r="H348" s="273" t="s">
        <v>330</v>
      </c>
      <c r="I348" s="273" t="s">
        <v>331</v>
      </c>
      <c r="J348" s="273" t="s">
        <v>330</v>
      </c>
      <c r="K348" s="273" t="s">
        <v>332</v>
      </c>
      <c r="L348" s="273" t="s">
        <v>333</v>
      </c>
      <c r="M348" s="273" t="s">
        <v>334</v>
      </c>
      <c r="N348" s="276"/>
      <c r="O348" s="6"/>
    </row>
    <row r="349" spans="1:18" s="1" customFormat="1" ht="69.95" customHeight="1" x14ac:dyDescent="0.25">
      <c r="A349"/>
      <c r="B349"/>
      <c r="C349"/>
      <c r="D349" s="177"/>
      <c r="E349" s="177"/>
      <c r="F349" s="177"/>
      <c r="G349" s="177"/>
      <c r="H349" s="177"/>
      <c r="I349"/>
      <c r="J349"/>
      <c r="K349"/>
      <c r="L349"/>
      <c r="M349"/>
      <c r="N349"/>
      <c r="O349" s="6"/>
    </row>
    <row r="350" spans="1:18" s="141" customFormat="1" ht="24.95" customHeight="1" thickBot="1" x14ac:dyDescent="0.3">
      <c r="B350" s="278" t="s">
        <v>322</v>
      </c>
      <c r="D350" s="278" t="s">
        <v>88</v>
      </c>
      <c r="E350" s="278" t="s">
        <v>84</v>
      </c>
      <c r="F350" s="278" t="s">
        <v>44</v>
      </c>
      <c r="G350" s="278" t="s">
        <v>321</v>
      </c>
      <c r="H350" s="278" t="s">
        <v>321</v>
      </c>
      <c r="I350" s="278" t="s">
        <v>322</v>
      </c>
      <c r="J350" s="278" t="s">
        <v>322</v>
      </c>
      <c r="K350" s="278" t="s">
        <v>323</v>
      </c>
      <c r="L350" s="278" t="s">
        <v>335</v>
      </c>
      <c r="M350" s="278" t="s">
        <v>322</v>
      </c>
      <c r="O350" s="143"/>
      <c r="P350" s="143"/>
    </row>
    <row r="351" spans="1:18" s="1" customFormat="1" ht="20.100000000000001" customHeight="1" thickTop="1" x14ac:dyDescent="0.25">
      <c r="A351" s="177"/>
      <c r="B351" s="282">
        <f>I10*D334*D333^4</f>
        <v>3.8489732413078559E+26</v>
      </c>
      <c r="C351" s="177"/>
      <c r="D351" s="144">
        <f>I11*D333</f>
        <v>7.977389922E-20</v>
      </c>
      <c r="E351" s="144">
        <f>D351/C6</f>
        <v>4.0782506356153555E-29</v>
      </c>
      <c r="F351" s="144">
        <f>1/E351</f>
        <v>2.4520317394595659E+28</v>
      </c>
      <c r="G351" s="144">
        <f>E351/F351</f>
        <v>1.6632128246897051E-57</v>
      </c>
      <c r="H351" s="283">
        <f>G351^2</f>
        <v>2.7662769002123077E-114</v>
      </c>
      <c r="I351" s="283">
        <f>C6/C4</f>
        <v>3.6282539617993513E+52</v>
      </c>
      <c r="J351" s="144">
        <f>H351*I351</f>
        <v>1.0036755122629335E-61</v>
      </c>
      <c r="K351" s="283">
        <f>D334/C2^2</f>
        <v>2.3313272624853919E+88</v>
      </c>
      <c r="L351" s="284">
        <f>PI()^2/60</f>
        <v>0.16449340668482262</v>
      </c>
      <c r="M351" s="282">
        <f>H351*I351*K351*L351</f>
        <v>3.8489747821596798E+26</v>
      </c>
      <c r="N351" s="177"/>
      <c r="O351" s="6"/>
      <c r="Q351" s="285"/>
      <c r="R351" s="6"/>
    </row>
    <row r="352" spans="1:18" s="1" customFormat="1" ht="20.100000000000001" customHeight="1" x14ac:dyDescent="0.25">
      <c r="A352"/>
      <c r="B352"/>
      <c r="C352"/>
      <c r="D352" s="286"/>
      <c r="E352" s="286"/>
      <c r="F352" s="144"/>
      <c r="G352" s="144"/>
      <c r="H352"/>
      <c r="I352"/>
      <c r="J352"/>
      <c r="K352"/>
      <c r="L352"/>
      <c r="M352"/>
      <c r="N352"/>
      <c r="O352" s="6"/>
    </row>
    <row r="353" spans="1:15" s="1" customFormat="1" ht="20.100000000000001" customHeight="1" x14ac:dyDescent="0.25">
      <c r="A353"/>
      <c r="B353"/>
      <c r="C353"/>
      <c r="D353" s="286"/>
      <c r="E353" s="286"/>
      <c r="F353" s="144"/>
      <c r="G353" s="144"/>
      <c r="H353"/>
      <c r="I353"/>
      <c r="J353"/>
      <c r="K353"/>
      <c r="L353"/>
      <c r="N353" s="287"/>
      <c r="O353" s="6"/>
    </row>
    <row r="354" spans="1:15" s="1" customFormat="1" ht="20.100000000000001" customHeight="1" x14ac:dyDescent="0.25">
      <c r="A354"/>
      <c r="B354"/>
      <c r="C354"/>
      <c r="D354" s="286"/>
      <c r="E354" s="286"/>
      <c r="F354" s="144"/>
      <c r="G354" s="144"/>
      <c r="H354"/>
      <c r="I354"/>
      <c r="J354"/>
      <c r="K354"/>
      <c r="L354"/>
      <c r="N354" s="287"/>
      <c r="O354" s="6"/>
    </row>
    <row r="355" spans="1:15" s="1" customFormat="1" ht="20.100000000000001" customHeight="1" x14ac:dyDescent="0.25">
      <c r="F355" s="6"/>
      <c r="G355" s="6"/>
      <c r="H355" s="27"/>
      <c r="I355" s="27"/>
      <c r="J355" s="6"/>
      <c r="K355" s="6"/>
      <c r="L355" s="6"/>
      <c r="N355" s="6"/>
      <c r="O355" s="6"/>
    </row>
    <row r="356" spans="1:15" s="1" customFormat="1" ht="20.100000000000001" customHeight="1" x14ac:dyDescent="0.25">
      <c r="F356" s="6"/>
      <c r="G356" s="6"/>
      <c r="H356" s="27"/>
      <c r="I356" s="27"/>
      <c r="J356" s="6"/>
      <c r="K356" s="6"/>
      <c r="L356" s="6"/>
      <c r="M356" s="6"/>
      <c r="N356" s="6"/>
      <c r="O356" s="6"/>
    </row>
    <row r="357" spans="1:15" s="1" customFormat="1" ht="20.100000000000001" customHeight="1" x14ac:dyDescent="0.25">
      <c r="B357" s="51"/>
      <c r="C357" s="262"/>
      <c r="D357" s="262"/>
      <c r="E357" s="262"/>
      <c r="F357" s="134"/>
      <c r="G357" s="134"/>
      <c r="H357" s="133"/>
      <c r="I357" s="133"/>
      <c r="J357" s="6"/>
      <c r="K357" s="6"/>
      <c r="L357" s="6"/>
      <c r="M357" s="6"/>
      <c r="N357" s="6"/>
      <c r="O357" s="6"/>
    </row>
    <row r="358" spans="1:15" s="1" customFormat="1" ht="20.100000000000001" customHeight="1" x14ac:dyDescent="0.25">
      <c r="B358" s="263" t="s">
        <v>336</v>
      </c>
      <c r="C358" s="261"/>
      <c r="D358" s="261"/>
      <c r="E358" s="261"/>
      <c r="F358" s="6"/>
      <c r="G358" s="6"/>
      <c r="H358" s="27"/>
      <c r="I358" s="27"/>
      <c r="J358" s="6"/>
      <c r="K358" s="6"/>
      <c r="L358" s="6"/>
      <c r="M358" s="288"/>
      <c r="N358" s="6"/>
      <c r="O358" s="6"/>
    </row>
    <row r="359" spans="1:15" s="1" customFormat="1" ht="20.100000000000001" customHeight="1" x14ac:dyDescent="0.25">
      <c r="C359" s="198"/>
      <c r="D359" s="6"/>
      <c r="E359" s="27"/>
      <c r="G359" s="289"/>
      <c r="H359" s="3"/>
      <c r="I359" s="6"/>
      <c r="K359" s="288"/>
      <c r="L359" s="6"/>
      <c r="M359" s="6"/>
      <c r="N359" s="6"/>
    </row>
    <row r="360" spans="1:15" s="1" customFormat="1" ht="20.100000000000001" customHeight="1" x14ac:dyDescent="0.25">
      <c r="C360" s="198"/>
      <c r="D360" s="6"/>
      <c r="E360" s="27"/>
      <c r="G360" s="289"/>
      <c r="H360" s="3"/>
      <c r="I360" s="6"/>
      <c r="K360" s="288"/>
      <c r="L360" s="6"/>
      <c r="M360" s="6"/>
      <c r="N360" s="6"/>
    </row>
    <row r="361" spans="1:15" s="1" customFormat="1" ht="20.100000000000001" customHeight="1" x14ac:dyDescent="0.25">
      <c r="B361" s="290" t="s">
        <v>337</v>
      </c>
      <c r="C361" s="198"/>
      <c r="D361" s="6"/>
      <c r="E361" s="27"/>
      <c r="G361" s="289"/>
      <c r="H361" s="3"/>
      <c r="I361" s="6"/>
      <c r="K361" s="288"/>
      <c r="L361" s="6"/>
      <c r="M361" s="6"/>
      <c r="N361" s="6"/>
    </row>
    <row r="362" spans="1:15" s="1" customFormat="1" ht="39.950000000000003" customHeight="1" x14ac:dyDescent="0.25">
      <c r="B362" s="118" t="s">
        <v>338</v>
      </c>
      <c r="C362" s="118" t="s">
        <v>339</v>
      </c>
      <c r="D362" s="118" t="s">
        <v>338</v>
      </c>
      <c r="E362" s="118" t="s">
        <v>340</v>
      </c>
      <c r="G362" s="138"/>
      <c r="H362" s="138"/>
      <c r="I362" s="138"/>
      <c r="J362" s="138"/>
      <c r="K362" s="288"/>
      <c r="L362" s="6"/>
      <c r="M362" s="6"/>
      <c r="N362" s="6"/>
    </row>
    <row r="363" spans="1:15" s="1" customFormat="1" ht="20.100000000000001" customHeight="1" x14ac:dyDescent="0.25">
      <c r="B363" s="291" t="s">
        <v>341</v>
      </c>
      <c r="C363" s="123">
        <f>1/C8</f>
        <v>3.3356409519815204E-9</v>
      </c>
      <c r="D363" s="292" t="s">
        <v>42</v>
      </c>
      <c r="E363" s="57" t="s">
        <v>342</v>
      </c>
      <c r="H363" s="293"/>
      <c r="I363" s="123"/>
      <c r="J363" s="53"/>
      <c r="K363" s="288"/>
      <c r="L363" s="6"/>
      <c r="M363" s="6"/>
      <c r="N363" s="6"/>
    </row>
    <row r="364" spans="1:15" s="1" customFormat="1" ht="20.100000000000001" customHeight="1" x14ac:dyDescent="0.25">
      <c r="B364" s="291" t="s">
        <v>341</v>
      </c>
      <c r="C364" s="123">
        <f>C3/C2</f>
        <v>1.3465907298043936E+27</v>
      </c>
      <c r="D364" s="292" t="s">
        <v>85</v>
      </c>
      <c r="E364" s="57" t="s">
        <v>343</v>
      </c>
      <c r="H364" s="293"/>
      <c r="I364" s="123"/>
      <c r="J364" s="53"/>
      <c r="K364" s="288"/>
      <c r="L364" s="6"/>
      <c r="M364" s="6"/>
      <c r="N364" s="6"/>
    </row>
    <row r="365" spans="1:15" s="1" customFormat="1" ht="20.100000000000001" customHeight="1" x14ac:dyDescent="0.25">
      <c r="B365" s="291" t="s">
        <v>341</v>
      </c>
      <c r="C365" s="123">
        <f>C5/C2</f>
        <v>1.1604270599501381E+17</v>
      </c>
      <c r="D365" s="292" t="s">
        <v>230</v>
      </c>
      <c r="E365" s="294" t="s">
        <v>344</v>
      </c>
      <c r="H365" s="293"/>
      <c r="I365" s="123"/>
      <c r="J365" s="53"/>
      <c r="K365" s="288"/>
      <c r="L365" s="6"/>
      <c r="M365" s="6"/>
      <c r="N365" s="6"/>
    </row>
    <row r="366" spans="1:15" s="1" customFormat="1" ht="20.100000000000001" customHeight="1" x14ac:dyDescent="0.25">
      <c r="B366" s="295"/>
      <c r="C366" s="6"/>
      <c r="D366" s="296"/>
      <c r="E366" s="294"/>
      <c r="H366" s="293"/>
      <c r="I366" s="123"/>
      <c r="J366" s="53"/>
      <c r="K366" s="288"/>
      <c r="L366" s="6"/>
      <c r="M366" s="6"/>
      <c r="N366" s="6"/>
    </row>
    <row r="367" spans="1:15" s="1" customFormat="1" ht="20.100000000000001" customHeight="1" x14ac:dyDescent="0.25">
      <c r="B367" s="54" t="s">
        <v>345</v>
      </c>
      <c r="C367" s="123">
        <f>C8</f>
        <v>299792458</v>
      </c>
      <c r="D367" s="74" t="s">
        <v>46</v>
      </c>
      <c r="E367" s="294" t="s">
        <v>30</v>
      </c>
      <c r="H367" s="293"/>
      <c r="I367" s="123"/>
      <c r="J367" s="53"/>
      <c r="K367" s="288"/>
      <c r="L367" s="6"/>
      <c r="M367" s="6"/>
      <c r="N367" s="6"/>
    </row>
    <row r="368" spans="1:15" s="1" customFormat="1" ht="20.100000000000001" customHeight="1" x14ac:dyDescent="0.25">
      <c r="B368" s="54" t="s">
        <v>345</v>
      </c>
      <c r="C368" s="123">
        <f>C3/C4</f>
        <v>4.0369769739728123E+35</v>
      </c>
      <c r="D368" s="56" t="s">
        <v>85</v>
      </c>
      <c r="E368" s="294" t="s">
        <v>346</v>
      </c>
      <c r="H368" s="293"/>
      <c r="I368" s="123"/>
      <c r="J368" s="53"/>
      <c r="K368" s="288"/>
      <c r="L368" s="6"/>
      <c r="M368" s="6"/>
      <c r="N368" s="6"/>
    </row>
    <row r="369" spans="2:14" s="1" customFormat="1" ht="20.100000000000001" customHeight="1" x14ac:dyDescent="0.25">
      <c r="B369" s="54" t="s">
        <v>345</v>
      </c>
      <c r="C369" s="123">
        <f>C5/C4</f>
        <v>3.4788723977582744E+25</v>
      </c>
      <c r="D369" s="56" t="s">
        <v>230</v>
      </c>
      <c r="E369" s="294" t="s">
        <v>347</v>
      </c>
      <c r="H369" s="293"/>
      <c r="I369" s="123"/>
      <c r="J369" s="53"/>
      <c r="K369" s="288"/>
      <c r="L369" s="6"/>
      <c r="M369" s="6"/>
      <c r="N369" s="6"/>
    </row>
    <row r="370" spans="2:14" s="1" customFormat="1" ht="20.100000000000001" customHeight="1" x14ac:dyDescent="0.25">
      <c r="B370" s="279"/>
      <c r="D370" s="297"/>
      <c r="K370" s="288"/>
      <c r="L370" s="6"/>
      <c r="M370" s="6"/>
      <c r="N370" s="6"/>
    </row>
    <row r="371" spans="2:14" s="1" customFormat="1" ht="20.100000000000001" customHeight="1" x14ac:dyDescent="0.25">
      <c r="B371" s="291" t="s">
        <v>348</v>
      </c>
      <c r="C371" s="123">
        <f>C2/C3</f>
        <v>7.4261613262795931E-28</v>
      </c>
      <c r="D371" s="292" t="s">
        <v>46</v>
      </c>
      <c r="E371" s="294" t="s">
        <v>349</v>
      </c>
      <c r="H371" s="293"/>
      <c r="I371" s="123"/>
      <c r="J371" s="53"/>
      <c r="K371" s="288"/>
      <c r="L371" s="6"/>
      <c r="M371" s="6"/>
      <c r="N371" s="6"/>
    </row>
    <row r="372" spans="2:14" s="1" customFormat="1" ht="20.100000000000001" customHeight="1" x14ac:dyDescent="0.25">
      <c r="B372" s="291" t="s">
        <v>348</v>
      </c>
      <c r="C372" s="123">
        <f>C4/C3</f>
        <v>2.4771010745099552E-36</v>
      </c>
      <c r="D372" s="292" t="s">
        <v>42</v>
      </c>
      <c r="E372" s="294" t="s">
        <v>350</v>
      </c>
      <c r="H372" s="293"/>
      <c r="I372" s="123"/>
      <c r="J372" s="53"/>
      <c r="K372" s="288"/>
      <c r="L372" s="6"/>
      <c r="M372" s="6"/>
      <c r="N372" s="6"/>
    </row>
    <row r="373" spans="2:14" s="1" customFormat="1" ht="20.100000000000001" customHeight="1" x14ac:dyDescent="0.25">
      <c r="B373" s="291" t="s">
        <v>348</v>
      </c>
      <c r="C373" s="123">
        <f>C5/C3</f>
        <v>8.6175185545700458E-11</v>
      </c>
      <c r="D373" s="292" t="s">
        <v>230</v>
      </c>
      <c r="E373" s="294" t="s">
        <v>351</v>
      </c>
      <c r="H373" s="293"/>
      <c r="I373" s="123"/>
      <c r="J373" s="53"/>
      <c r="K373" s="288"/>
      <c r="L373" s="6"/>
      <c r="M373" s="6"/>
      <c r="N373" s="6"/>
    </row>
    <row r="374" spans="2:14" s="1" customFormat="1" ht="20.100000000000001" customHeight="1" x14ac:dyDescent="0.25">
      <c r="B374" s="291"/>
      <c r="C374" s="123"/>
      <c r="D374" s="292"/>
      <c r="E374" s="294"/>
      <c r="H374" s="293"/>
      <c r="I374" s="123"/>
      <c r="J374" s="53"/>
      <c r="K374" s="288"/>
      <c r="L374" s="6"/>
      <c r="M374" s="6"/>
      <c r="N374" s="6"/>
    </row>
    <row r="375" spans="2:14" s="1" customFormat="1" ht="20.100000000000001" customHeight="1" x14ac:dyDescent="0.25">
      <c r="B375" s="54" t="s">
        <v>352</v>
      </c>
      <c r="C375" s="123">
        <f>C2/C5</f>
        <v>8.6175170720593899E-18</v>
      </c>
      <c r="D375" s="56" t="s">
        <v>46</v>
      </c>
      <c r="E375" s="294" t="s">
        <v>353</v>
      </c>
      <c r="H375" s="293"/>
      <c r="I375" s="123"/>
      <c r="J375" s="53"/>
      <c r="K375" s="288"/>
      <c r="L375" s="6"/>
      <c r="M375" s="6"/>
      <c r="N375" s="6"/>
    </row>
    <row r="376" spans="2:14" s="1" customFormat="1" ht="20.100000000000001" customHeight="1" x14ac:dyDescent="0.25">
      <c r="B376" s="54" t="s">
        <v>352</v>
      </c>
      <c r="C376" s="123">
        <f>C4/C5</f>
        <v>2.8744946225805313E-26</v>
      </c>
      <c r="D376" s="56" t="s">
        <v>42</v>
      </c>
      <c r="E376" s="294" t="s">
        <v>354</v>
      </c>
      <c r="H376" s="293"/>
      <c r="I376" s="123"/>
      <c r="J376" s="53"/>
      <c r="K376" s="288"/>
      <c r="L376" s="6"/>
      <c r="M376" s="6"/>
      <c r="N376" s="6"/>
    </row>
    <row r="377" spans="2:14" s="1" customFormat="1" ht="20.100000000000001" customHeight="1" x14ac:dyDescent="0.25">
      <c r="B377" s="298" t="s">
        <v>352</v>
      </c>
      <c r="C377" s="299">
        <f>C3/C5</f>
        <v>11604268603.166275</v>
      </c>
      <c r="D377" s="300" t="s">
        <v>85</v>
      </c>
      <c r="E377" s="301" t="s">
        <v>355</v>
      </c>
      <c r="H377" s="3"/>
      <c r="I377" s="123"/>
      <c r="J377" s="53"/>
      <c r="K377" s="288"/>
      <c r="L377" s="6"/>
      <c r="M377" s="6"/>
      <c r="N377" s="6"/>
    </row>
    <row r="378" spans="2:14" s="1" customFormat="1" ht="20.100000000000001" customHeight="1" x14ac:dyDescent="0.25">
      <c r="C378" s="302"/>
      <c r="D378" s="123"/>
      <c r="E378" s="124"/>
      <c r="G378" s="289"/>
      <c r="H378" s="3"/>
      <c r="I378" s="123"/>
      <c r="J378" s="53"/>
      <c r="K378" s="288"/>
      <c r="L378" s="6"/>
      <c r="M378" s="6"/>
      <c r="N378" s="6"/>
    </row>
    <row r="379" spans="2:14" s="1" customFormat="1" ht="20.100000000000001" customHeight="1" x14ac:dyDescent="0.25">
      <c r="C379" s="302"/>
      <c r="D379" s="123"/>
      <c r="E379" s="124"/>
      <c r="G379" s="289"/>
      <c r="H379" s="3"/>
      <c r="I379" s="123"/>
      <c r="J379" s="53"/>
      <c r="K379" s="288"/>
      <c r="L379" s="6"/>
      <c r="M379" s="6"/>
      <c r="N379" s="6"/>
    </row>
    <row r="380" spans="2:14" s="1" customFormat="1" ht="20.100000000000001" customHeight="1" x14ac:dyDescent="0.25">
      <c r="H380" s="3"/>
      <c r="I380" s="123"/>
      <c r="J380" s="53"/>
      <c r="K380" s="288"/>
      <c r="L380" s="6"/>
      <c r="M380" s="6"/>
      <c r="N380" s="6"/>
    </row>
    <row r="381" spans="2:14" s="1" customFormat="1" ht="20.100000000000001" customHeight="1" x14ac:dyDescent="0.25">
      <c r="H381" s="3"/>
      <c r="I381" s="123"/>
      <c r="J381" s="53"/>
      <c r="K381" s="288"/>
      <c r="L381" s="6"/>
      <c r="M381" s="6"/>
      <c r="N381" s="6"/>
    </row>
    <row r="382" spans="2:14" s="1" customFormat="1" ht="20.100000000000001" customHeight="1" x14ac:dyDescent="0.25">
      <c r="H382" s="3"/>
      <c r="I382" s="123"/>
      <c r="J382" s="53"/>
      <c r="K382" s="288"/>
      <c r="L382" s="6"/>
      <c r="M382" s="6"/>
      <c r="N382" s="6"/>
    </row>
    <row r="383" spans="2:14" s="1" customFormat="1" ht="20.100000000000001" customHeight="1" x14ac:dyDescent="0.25">
      <c r="H383" s="3"/>
      <c r="I383" s="123"/>
      <c r="J383" s="53"/>
      <c r="K383" s="288"/>
      <c r="L383" s="6"/>
      <c r="M383" s="6"/>
      <c r="N383" s="6"/>
    </row>
    <row r="384" spans="2:14" s="1" customFormat="1" ht="20.100000000000001" customHeight="1" x14ac:dyDescent="0.25">
      <c r="H384" s="3"/>
      <c r="I384" s="123"/>
      <c r="J384" s="53"/>
      <c r="K384" s="288"/>
      <c r="L384" s="6"/>
      <c r="M384" s="6"/>
      <c r="N384" s="6"/>
    </row>
    <row r="385" spans="3:18" s="1" customFormat="1" ht="20.100000000000001" customHeight="1" x14ac:dyDescent="0.25">
      <c r="H385" s="3"/>
      <c r="I385" s="123"/>
      <c r="J385" s="53"/>
      <c r="K385" s="288"/>
      <c r="L385" s="6"/>
      <c r="M385" s="6"/>
      <c r="N385" s="6"/>
    </row>
    <row r="386" spans="3:18" s="1" customFormat="1" ht="20.100000000000001" customHeight="1" x14ac:dyDescent="0.25">
      <c r="H386" s="3"/>
      <c r="I386" s="123"/>
      <c r="J386" s="53"/>
      <c r="K386" s="288"/>
      <c r="L386" s="6"/>
      <c r="M386" s="6"/>
      <c r="N386" s="6"/>
    </row>
    <row r="387" spans="3:18" s="1" customFormat="1" ht="20.100000000000001" customHeight="1" x14ac:dyDescent="0.25">
      <c r="H387" s="3"/>
      <c r="I387" s="123"/>
      <c r="J387" s="53"/>
      <c r="K387" s="288"/>
      <c r="L387" s="6"/>
      <c r="M387" s="6"/>
      <c r="N387" s="6"/>
    </row>
    <row r="388" spans="3:18" s="1" customFormat="1" ht="20.100000000000001" customHeight="1" x14ac:dyDescent="0.25">
      <c r="H388" s="3"/>
      <c r="I388" s="123"/>
      <c r="J388" s="53"/>
      <c r="K388" s="288"/>
      <c r="L388" s="6"/>
      <c r="M388" s="6"/>
      <c r="N388" s="6"/>
    </row>
    <row r="389" spans="3:18" s="1" customFormat="1" ht="20.100000000000001" customHeight="1" x14ac:dyDescent="0.25">
      <c r="H389" s="3"/>
      <c r="I389" s="123"/>
      <c r="J389" s="53"/>
      <c r="K389" s="288"/>
      <c r="L389" s="6"/>
      <c r="M389" s="6"/>
      <c r="N389" s="6"/>
    </row>
    <row r="390" spans="3:18" s="1" customFormat="1" ht="20.100000000000001" customHeight="1" x14ac:dyDescent="0.25">
      <c r="H390" s="3"/>
      <c r="I390" s="123"/>
      <c r="J390" s="53"/>
      <c r="K390" s="288"/>
      <c r="L390" s="6"/>
      <c r="M390" s="6"/>
      <c r="N390" s="6"/>
    </row>
    <row r="391" spans="3:18" s="1" customFormat="1" ht="20.100000000000001" customHeight="1" x14ac:dyDescent="0.25">
      <c r="H391" s="3"/>
      <c r="I391" s="123"/>
      <c r="J391" s="53"/>
      <c r="K391" s="288"/>
      <c r="L391" s="6"/>
      <c r="M391" s="6"/>
      <c r="N391" s="6"/>
    </row>
    <row r="392" spans="3:18" s="1" customFormat="1" ht="20.100000000000001" customHeight="1" x14ac:dyDescent="0.25">
      <c r="C392" s="302"/>
      <c r="D392" s="123"/>
      <c r="E392" s="123"/>
      <c r="F392" s="123"/>
      <c r="G392" s="123"/>
      <c r="H392" s="3"/>
      <c r="I392" s="123"/>
      <c r="J392" s="53"/>
      <c r="K392" s="288"/>
      <c r="L392" s="6"/>
      <c r="M392" s="6"/>
      <c r="N392" s="6"/>
    </row>
    <row r="393" spans="3:18" s="1" customFormat="1" ht="20.100000000000001" customHeight="1" x14ac:dyDescent="0.25">
      <c r="C393" s="302"/>
      <c r="D393" s="123"/>
      <c r="E393" s="123"/>
      <c r="G393" s="289"/>
      <c r="H393" s="3"/>
      <c r="I393" s="123"/>
      <c r="J393" s="53"/>
      <c r="K393" s="288"/>
      <c r="L393" s="6"/>
      <c r="M393" s="6"/>
      <c r="N393" s="6"/>
    </row>
    <row r="394" spans="3:18" s="1" customFormat="1" ht="20.100000000000001" customHeight="1" x14ac:dyDescent="0.25">
      <c r="C394" s="302"/>
      <c r="D394" s="123"/>
      <c r="E394" s="124"/>
      <c r="G394" s="289"/>
      <c r="H394" s="3"/>
      <c r="I394" s="123"/>
      <c r="J394" s="53"/>
      <c r="K394" s="288"/>
      <c r="L394" s="6"/>
      <c r="M394" s="6"/>
      <c r="N394" s="6"/>
    </row>
    <row r="395" spans="3:18" ht="20.100000000000001" customHeight="1" x14ac:dyDescent="0.25">
      <c r="L395" s="303"/>
      <c r="P395" s="303"/>
    </row>
    <row r="396" spans="3:18" ht="20.100000000000001" customHeight="1" x14ac:dyDescent="0.25">
      <c r="F396" s="304"/>
      <c r="G396" s="305"/>
      <c r="J396" s="306"/>
      <c r="N396" s="303"/>
      <c r="R396" s="303"/>
    </row>
    <row r="397" spans="3:18" s="228" customFormat="1" ht="20.100000000000001" customHeight="1" x14ac:dyDescent="0.25">
      <c r="C397" s="177"/>
      <c r="D397" s="3"/>
      <c r="E397" s="177"/>
      <c r="F397" s="177"/>
      <c r="G397" s="177"/>
      <c r="N397" s="307"/>
    </row>
    <row r="398" spans="3:18" s="228" customFormat="1" ht="20.100000000000001" customHeight="1" x14ac:dyDescent="0.25">
      <c r="C398" s="177"/>
      <c r="D398" s="3"/>
      <c r="E398" s="177"/>
      <c r="F398" s="177"/>
      <c r="G398" s="177"/>
      <c r="N398" s="307"/>
    </row>
    <row r="399" spans="3:18" s="228" customFormat="1" ht="20.100000000000001" customHeight="1" x14ac:dyDescent="0.25">
      <c r="C399" s="177"/>
      <c r="D399" s="308"/>
      <c r="E399" s="177"/>
      <c r="F399" s="177"/>
      <c r="G399" s="177"/>
      <c r="N399" s="307"/>
    </row>
    <row r="400" spans="3:18" s="228" customFormat="1" ht="20.100000000000001" customHeight="1" x14ac:dyDescent="0.25">
      <c r="N400" s="307"/>
    </row>
    <row r="401" spans="8:15" s="228" customFormat="1" ht="20.100000000000001" customHeight="1" x14ac:dyDescent="0.25">
      <c r="H401" s="177"/>
      <c r="O401" s="307"/>
    </row>
    <row r="402" spans="8:15" ht="20.100000000000001" customHeight="1" x14ac:dyDescent="0.25"/>
    <row r="403" spans="8:15" ht="20.100000000000001" customHeight="1" x14ac:dyDescent="0.25"/>
    <row r="404" spans="8:15" ht="20.100000000000001" customHeight="1" x14ac:dyDescent="0.25"/>
    <row r="405" spans="8:15" ht="20.100000000000001" customHeight="1" x14ac:dyDescent="0.25"/>
    <row r="406" spans="8:15" ht="20.100000000000001" customHeight="1" x14ac:dyDescent="0.25"/>
    <row r="407" spans="8:15" ht="20.100000000000001" customHeight="1" x14ac:dyDescent="0.25"/>
    <row r="408" spans="8:15" ht="20.100000000000001" customHeight="1" x14ac:dyDescent="0.25"/>
    <row r="409" spans="8:15" ht="20.100000000000001" customHeight="1" x14ac:dyDescent="0.25"/>
    <row r="410" spans="8:15" ht="20.100000000000001" customHeight="1" x14ac:dyDescent="0.25"/>
    <row r="411" spans="8:15" ht="20.100000000000001" customHeight="1" x14ac:dyDescent="0.25"/>
    <row r="412" spans="8:15" ht="20.100000000000001" customHeight="1" x14ac:dyDescent="0.25"/>
    <row r="413" spans="8:15" ht="20.100000000000001" customHeight="1" x14ac:dyDescent="0.25"/>
    <row r="414" spans="8:15" ht="20.100000000000001" customHeight="1" x14ac:dyDescent="0.25"/>
    <row r="415" spans="8:15" ht="20.100000000000001" customHeight="1" x14ac:dyDescent="0.25"/>
    <row r="416" spans="8:15" ht="20.100000000000001" customHeight="1" x14ac:dyDescent="0.25"/>
    <row r="417" ht="20.100000000000001" customHeight="1" x14ac:dyDescent="0.25"/>
  </sheetData>
  <mergeCells count="2">
    <mergeCell ref="B121:B122"/>
    <mergeCell ref="B123:B124"/>
  </mergeCells>
  <hyperlinks>
    <hyperlink ref="I228" r:id="rId1" xr:uid="{D1A52F10-B169-4A35-9539-11D1EEF29BA2}"/>
    <hyperlink ref="I229" r:id="rId2" xr:uid="{20E8EDB0-0F45-4DF1-82B1-9C4216454E82}"/>
    <hyperlink ref="I230" r:id="rId3" location=":~:text=At%20607.1%20nm%2C%20the%20solar,value%20is%20%C2%B122%20km." xr:uid="{2D328115-754D-4FE8-A378-B8D6456D978F}"/>
    <hyperlink ref="I231" r:id="rId4" location="EarthRadius2009" xr:uid="{4D11361E-FAA9-4BFC-90CD-9800FD00EB41}"/>
    <hyperlink ref="I226" r:id="rId5" xr:uid="{38EB0E6D-B110-4004-ACDD-FBA22563A88E}"/>
    <hyperlink ref="I227" r:id="rId6" xr:uid="{1722B5A9-71C0-4F9A-8B3E-55B8BE9BB56B}"/>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Humpherys</dc:creator>
  <cp:lastModifiedBy>David Humpherys</cp:lastModifiedBy>
  <dcterms:created xsi:type="dcterms:W3CDTF">2023-09-11T13:33:18Z</dcterms:created>
  <dcterms:modified xsi:type="dcterms:W3CDTF">2023-09-11T13:33:58Z</dcterms:modified>
</cp:coreProperties>
</file>