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6" windowWidth="23016" windowHeight="100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55" i="1"/>
  <c r="K54"/>
  <c r="K53"/>
  <c r="P82"/>
  <c r="O82"/>
  <c r="R81"/>
  <c r="Q81"/>
  <c r="Q80"/>
  <c r="P75"/>
  <c r="P74"/>
  <c r="P73"/>
  <c r="L51"/>
  <c r="K51"/>
  <c r="J51"/>
  <c r="I51"/>
  <c r="H51"/>
  <c r="G51"/>
  <c r="F51"/>
  <c r="E51"/>
  <c r="D51"/>
  <c r="I63"/>
  <c r="Q63"/>
  <c r="G55"/>
  <c r="L50"/>
  <c r="L49"/>
  <c r="K50"/>
  <c r="K49"/>
  <c r="H50"/>
  <c r="H49"/>
  <c r="J47"/>
  <c r="F50"/>
  <c r="F49"/>
  <c r="G49"/>
  <c r="G50"/>
  <c r="J50"/>
  <c r="J49"/>
  <c r="I6"/>
  <c r="J6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7"/>
  <c r="J26"/>
  <c r="J25"/>
  <c r="J24"/>
  <c r="J23"/>
  <c r="J20"/>
  <c r="J19"/>
  <c r="J18"/>
  <c r="J17"/>
  <c r="J16"/>
  <c r="J15"/>
  <c r="J14"/>
  <c r="J13"/>
  <c r="J12"/>
  <c r="J11"/>
  <c r="J10"/>
  <c r="J9"/>
  <c r="J8"/>
  <c r="J7"/>
  <c r="H47"/>
  <c r="G58"/>
  <c r="I58"/>
  <c r="J58"/>
  <c r="F58"/>
  <c r="O62"/>
  <c r="N62"/>
  <c r="O61"/>
  <c r="N61"/>
  <c r="R58"/>
  <c r="Q58"/>
  <c r="O58"/>
  <c r="N58"/>
  <c r="R48"/>
  <c r="O48"/>
  <c r="O52" s="1"/>
  <c r="N32"/>
  <c r="N27"/>
  <c r="N19"/>
  <c r="N9"/>
  <c r="N8"/>
  <c r="Q43"/>
  <c r="Q38"/>
  <c r="Q35"/>
  <c r="Q24"/>
  <c r="Q14"/>
  <c r="N6"/>
  <c r="E50"/>
  <c r="E49"/>
  <c r="E47"/>
  <c r="D50"/>
  <c r="D49"/>
  <c r="G47"/>
  <c r="F47"/>
  <c r="D47"/>
  <c r="H46"/>
  <c r="I46" s="1"/>
  <c r="H45"/>
  <c r="N45" s="1"/>
  <c r="H44"/>
  <c r="I44" s="1"/>
  <c r="I43"/>
  <c r="H43"/>
  <c r="H42"/>
  <c r="I42" s="1"/>
  <c r="I41"/>
  <c r="H41"/>
  <c r="Q41" s="1"/>
  <c r="H40"/>
  <c r="I40" s="1"/>
  <c r="H39"/>
  <c r="Q39" s="1"/>
  <c r="H38"/>
  <c r="I38" s="1"/>
  <c r="H37"/>
  <c r="N37" s="1"/>
  <c r="H36"/>
  <c r="I36" s="1"/>
  <c r="I35"/>
  <c r="H35"/>
  <c r="H34"/>
  <c r="I34" s="1"/>
  <c r="I33"/>
  <c r="H33"/>
  <c r="Q33" s="1"/>
  <c r="H32"/>
  <c r="I32" s="1"/>
  <c r="H31"/>
  <c r="Q31" s="1"/>
  <c r="H30"/>
  <c r="I30" s="1"/>
  <c r="H29"/>
  <c r="N29" s="1"/>
  <c r="H28"/>
  <c r="I28" s="1"/>
  <c r="I27"/>
  <c r="H27"/>
  <c r="H26"/>
  <c r="I26" s="1"/>
  <c r="I25"/>
  <c r="H25"/>
  <c r="H24"/>
  <c r="I24" s="1"/>
  <c r="H23"/>
  <c r="I23" s="1"/>
  <c r="H22"/>
  <c r="I22" s="1"/>
  <c r="H21"/>
  <c r="Q21" s="1"/>
  <c r="H20"/>
  <c r="I20" s="1"/>
  <c r="I19"/>
  <c r="H19"/>
  <c r="H18"/>
  <c r="I18" s="1"/>
  <c r="I17"/>
  <c r="H17"/>
  <c r="Q17" s="1"/>
  <c r="H16"/>
  <c r="I16" s="1"/>
  <c r="H15"/>
  <c r="I15" s="1"/>
  <c r="H14"/>
  <c r="I14" s="1"/>
  <c r="H13"/>
  <c r="I13" s="1"/>
  <c r="H12"/>
  <c r="I12" s="1"/>
  <c r="I11"/>
  <c r="H11"/>
  <c r="N11" s="1"/>
  <c r="H10"/>
  <c r="I10" s="1"/>
  <c r="I9"/>
  <c r="H9"/>
  <c r="H8"/>
  <c r="I8" s="1"/>
  <c r="H7"/>
  <c r="I7" s="1"/>
  <c r="H6"/>
  <c r="Q83" l="1"/>
  <c r="P76"/>
  <c r="G61"/>
  <c r="F62"/>
  <c r="G62"/>
  <c r="F61"/>
  <c r="I49"/>
  <c r="Q12"/>
  <c r="Q18"/>
  <c r="Q28"/>
  <c r="Q42"/>
  <c r="N15"/>
  <c r="N26"/>
  <c r="N36"/>
  <c r="N44"/>
  <c r="N13"/>
  <c r="N23"/>
  <c r="N46"/>
  <c r="O51"/>
  <c r="I21"/>
  <c r="I29"/>
  <c r="I47" s="1"/>
  <c r="I37"/>
  <c r="I45"/>
  <c r="Q16"/>
  <c r="Q22"/>
  <c r="Q40"/>
  <c r="N7"/>
  <c r="N20"/>
  <c r="I31"/>
  <c r="I39"/>
  <c r="N10"/>
  <c r="I50" l="1"/>
  <c r="N48"/>
  <c r="Q48"/>
  <c r="N52" l="1"/>
  <c r="N51"/>
</calcChain>
</file>

<file path=xl/sharedStrings.xml><?xml version="1.0" encoding="utf-8"?>
<sst xmlns="http://schemas.openxmlformats.org/spreadsheetml/2006/main" count="267" uniqueCount="140">
  <si>
    <t>https://archive.org/details/PhysicalDescriptionOfNewSouthWalesAndVanDiemensLand/page/n425</t>
  </si>
  <si>
    <t>Site</t>
  </si>
  <si>
    <t>Location</t>
  </si>
  <si>
    <t>Specific Gravity (BD?)</t>
  </si>
  <si>
    <t>Org matter</t>
  </si>
  <si>
    <t>Dry %</t>
  </si>
  <si>
    <t>NSW</t>
  </si>
  <si>
    <t>Karua</t>
  </si>
  <si>
    <t>State</t>
  </si>
  <si>
    <t>Unmanured</t>
  </si>
  <si>
    <t>Manured</t>
  </si>
  <si>
    <t>Same but deeper sample</t>
  </si>
  <si>
    <t>na</t>
  </si>
  <si>
    <t>CaCO3</t>
  </si>
  <si>
    <t>Water %</t>
  </si>
  <si>
    <t>Vale of Clywd, Mt York</t>
  </si>
  <si>
    <t>Sterile after drought</t>
  </si>
  <si>
    <t>Mt Tomah</t>
  </si>
  <si>
    <t>Mt Canoblas</t>
  </si>
  <si>
    <t>Natural soil?</t>
  </si>
  <si>
    <t>Defective soil?</t>
  </si>
  <si>
    <t>Mt Wingen</t>
  </si>
  <si>
    <t>Abandoned due to blight</t>
  </si>
  <si>
    <t>?</t>
  </si>
  <si>
    <t>Native soil unculitivated</t>
  </si>
  <si>
    <t>Tas</t>
  </si>
  <si>
    <t>Mona Vale</t>
  </si>
  <si>
    <t>Swamp soil</t>
  </si>
  <si>
    <t>Bit higher up</t>
  </si>
  <si>
    <t>Plain, unmanured</t>
  </si>
  <si>
    <t>Sour, unmanured</t>
  </si>
  <si>
    <t>Brickendon</t>
  </si>
  <si>
    <t>Longford</t>
  </si>
  <si>
    <t>Circular Head</t>
  </si>
  <si>
    <t>Crops fail</t>
  </si>
  <si>
    <t>Break o'-day</t>
  </si>
  <si>
    <t>Limestone</t>
  </si>
  <si>
    <t>Break o'-day/Malachite</t>
  </si>
  <si>
    <t>Quamby</t>
  </si>
  <si>
    <t>Bothwell</t>
  </si>
  <si>
    <t>Logan</t>
  </si>
  <si>
    <t>Glen Leith</t>
  </si>
  <si>
    <t>Cultivated</t>
  </si>
  <si>
    <t>North Esk</t>
  </si>
  <si>
    <t>Franklin</t>
  </si>
  <si>
    <t>Sterile</t>
  </si>
  <si>
    <t>Pt Effingham</t>
  </si>
  <si>
    <t>Piper</t>
  </si>
  <si>
    <t>Cape Portland</t>
  </si>
  <si>
    <t>Gravelly</t>
  </si>
  <si>
    <t>St George</t>
  </si>
  <si>
    <t>Lake Country</t>
  </si>
  <si>
    <t>Natural soil</t>
  </si>
  <si>
    <t>Huyon</t>
  </si>
  <si>
    <t>Productive</t>
  </si>
  <si>
    <t>Delareyne</t>
  </si>
  <si>
    <t>Unmanured, stterile</t>
  </si>
  <si>
    <t>Mean</t>
  </si>
  <si>
    <t>NOTE: in the data where he says "Loss" this is not loss on ignition, rather it is the shortfall of the date to add up to 100%</t>
  </si>
  <si>
    <r>
      <t xml:space="preserve">Here the original data is re-calculated to give a "per dry weight" measure of soil carbon ALSO CHECKED AGAINST HIS TABLE ON PP 429-430 </t>
    </r>
    <r>
      <rPr>
        <sz val="11"/>
        <color rgb="FFFF0000"/>
        <rFont val="Calibri"/>
        <family val="2"/>
        <scheme val="minor"/>
      </rPr>
      <t xml:space="preserve">THAT HAS MANY MISTAKES!!! </t>
    </r>
    <r>
      <rPr>
        <sz val="11"/>
        <color theme="1"/>
        <rFont val="Calibri"/>
        <family val="2"/>
        <charset val="128"/>
        <scheme val="minor"/>
      </rPr>
      <t>- RJB Nov., 2019</t>
    </r>
  </si>
  <si>
    <t>H2O</t>
  </si>
  <si>
    <t>BD</t>
  </si>
  <si>
    <t>Just Tas</t>
  </si>
  <si>
    <t>Just NSW (13 soils)</t>
  </si>
  <si>
    <t>Most fertile</t>
  </si>
  <si>
    <t>Least fertile</t>
  </si>
  <si>
    <t xml:space="preserve">Strzlecki, P.E: Physical description of New South Wales and Van Diemen’s land: accompanied by a geological map, section and diagrams, and figures of organic remains. Printed by Longman, Brown, Green and Longmans London (1845). </t>
  </si>
  <si>
    <t xml:space="preserve">From Stezlecki 1945: tab: </t>
  </si>
  <si>
    <t>MEAN</t>
  </si>
  <si>
    <t>H2O%</t>
  </si>
  <si>
    <t>19 vs 18</t>
  </si>
  <si>
    <t>% Diff</t>
  </si>
  <si>
    <t>times</t>
  </si>
  <si>
    <t>Her figures are slightly wrong as they are on a wet weight basis, not dry weight as are mine.</t>
  </si>
  <si>
    <t>JUST TASMANIA</t>
  </si>
  <si>
    <t>12 vs 13</t>
  </si>
  <si>
    <t>This is consistent with Dr Bill Coching 2018: fig. 3 that shows Tas SOC decline from mean of 5% to 2.5% in about 40 years of cultivation - http://www.billcotching.com/Cotching_Geoderma_2017.pdf .</t>
  </si>
  <si>
    <t xml:space="preserve">Overall mean SOC for all Tas soils - </t>
  </si>
  <si>
    <t>%</t>
  </si>
  <si>
    <t>His fig. 3 (from Sparrow et al. 2013: fig. 1) for cultivation between 1972 - 2010 or 38 years.</t>
  </si>
  <si>
    <t>HOW MUCH SOIL CARBON IS LOST IN TOTAL FROM TAS AND CAN IT BE RESTORED TO RESET CLIMATE?</t>
  </si>
  <si>
    <t>JUST NSW</t>
  </si>
  <si>
    <t>Good vs bad soil</t>
  </si>
  <si>
    <t>8 vs 5</t>
  </si>
  <si>
    <t xml:space="preserve">Overall mean SOC for all NSW soils - </t>
  </si>
  <si>
    <t>(Note: prior to 1851 the state of Victoria was part of the colony of New South Wales</t>
  </si>
  <si>
    <t>Christine Jones 2009 Appendix C tabulates range of SOC in Victoria of 0.9 to 5.8 % with median value about 2.9%.</t>
  </si>
  <si>
    <t>https://www.amazingcarbon.com/PDF/JONES-SoilSequestrationInquiry(17Dec09).pdf</t>
  </si>
  <si>
    <t xml:space="preserve">This 2.9% compares to the range of 2.2 to 17.2 with median 9.7% found by Strzelecki for NSW. </t>
  </si>
  <si>
    <t>She notes: "On average, 12 tonnes of topsoil are eroded for every tonne of wheat currently produced in</t>
  </si>
  <si>
    <t>Australia. Greater losses are experienced on more fragile soils. For example, over 200</t>
  </si>
  <si>
    <t>tonnes of topsoil are eroded for each tonne of wheat produced in some parts of the Wimmera</t>
  </si>
  <si>
    <t>region in western Victoria.</t>
  </si>
  <si>
    <t xml:space="preserve">No civilisation can survive the physical destruction of its primary resource base - the soil." </t>
  </si>
  <si>
    <t>Most fertile soils in Tasmania</t>
  </si>
  <si>
    <t>Least fertile soils in Tasmania</t>
  </si>
  <si>
    <t>Wet wt</t>
  </si>
  <si>
    <t>True (dry)</t>
  </si>
  <si>
    <t>CaCO3%</t>
  </si>
  <si>
    <t>His Notes on Soils</t>
  </si>
  <si>
    <t>True CaCO3</t>
  </si>
  <si>
    <t>CinCaCO3</t>
  </si>
  <si>
    <t>TOTAL C%</t>
  </si>
  <si>
    <t>CaCO3-C as % of total C</t>
  </si>
  <si>
    <t>So on average adds</t>
  </si>
  <si>
    <t>% to total C</t>
  </si>
  <si>
    <t>MEANS</t>
  </si>
  <si>
    <t>farmA</t>
  </si>
  <si>
    <t xml:space="preserve">Farm </t>
  </si>
  <si>
    <t>farmB</t>
  </si>
  <si>
    <t>farmC</t>
  </si>
  <si>
    <t>ha</t>
  </si>
  <si>
    <t>Ct/ha</t>
  </si>
  <si>
    <t xml:space="preserve">MEAN </t>
  </si>
  <si>
    <t>"NSW"</t>
  </si>
  <si>
    <t>Tasmania</t>
  </si>
  <si>
    <t>Study date</t>
  </si>
  <si>
    <t>Total C t</t>
  </si>
  <si>
    <t>Chart of decline of SOC% carbon under cultivation compared to Srzelecki's data baseline</t>
  </si>
  <si>
    <t>% decline</t>
  </si>
  <si>
    <t>%decline last 37 years</t>
  </si>
  <si>
    <t>total years</t>
  </si>
  <si>
    <t>Just Tas (28 soils or 25 for CaCO3)</t>
  </si>
  <si>
    <t>These from</t>
  </si>
  <si>
    <t>calculator not</t>
  </si>
  <si>
    <t>spreadsheet::::</t>
  </si>
  <si>
    <t xml:space="preserve">Compare to Dr Christine Jones piece on Soil saving our bacon - https://web.archive.org/web/20200315053953/http://www.farminstitute.org.au/_literature_68254/AGE2010_Paper_Dr_Christine_Jones </t>
  </si>
  <si>
    <t>True SOM</t>
  </si>
  <si>
    <t>SOM%</t>
  </si>
  <si>
    <t>SOM %</t>
  </si>
  <si>
    <t>So CaCO3 adds on average 6.1% to SOM for total C NSW soils</t>
  </si>
  <si>
    <t>So CaCO3 adds on average 7.8% to SOM for total C in Tas soils</t>
  </si>
  <si>
    <t>SOM</t>
  </si>
  <si>
    <t xml:space="preserve">Overall mean SOM for all NSW soils - </t>
  </si>
  <si>
    <t xml:space="preserve">Overall mean SOM for all Tas soils - </t>
  </si>
  <si>
    <t>So SOC goes from around 5% in 1840s to about 5% in 1970s then to 2.5% in 2010!</t>
  </si>
  <si>
    <t>Or -50% in 38 years of cultivation.</t>
  </si>
  <si>
    <t>SOM values are divided by 2 to give SOC from latest van Bemmelen calculations (Pribyl 2010).</t>
  </si>
  <si>
    <t>NOTE: Much CaCO3 is from earthworm calciferous glands!</t>
  </si>
  <si>
    <t>Cotching 2018: tab. 2 SOC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</si>
</sst>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128"/>
      <scheme val="minor"/>
    </font>
    <font>
      <sz val="12"/>
      <color rgb="FF000000"/>
      <name val="Times New Roman"/>
      <family val="1"/>
    </font>
    <font>
      <u/>
      <sz val="11"/>
      <color theme="10"/>
      <name val="Calibri"/>
      <family val="2"/>
      <charset val="128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charset val="128"/>
      <scheme val="minor"/>
    </font>
    <font>
      <b/>
      <sz val="11"/>
      <color theme="5" tint="0.39997558519241921"/>
      <name val="Calibri"/>
      <family val="2"/>
      <scheme val="minor"/>
    </font>
    <font>
      <sz val="11"/>
      <color rgb="FFFF0000"/>
      <name val="Calibri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1" fillId="0" borderId="0" xfId="0" applyFont="1"/>
    <xf numFmtId="0" fontId="2" fillId="0" borderId="0" xfId="1" applyAlignment="1" applyProtection="1"/>
    <xf numFmtId="2" fontId="0" fillId="0" borderId="0" xfId="0" applyNumberFormat="1"/>
    <xf numFmtId="164" fontId="0" fillId="0" borderId="0" xfId="0" applyNumberFormat="1"/>
    <xf numFmtId="0" fontId="4" fillId="0" borderId="0" xfId="0" applyFont="1"/>
    <xf numFmtId="164" fontId="3" fillId="0" borderId="0" xfId="0" applyNumberFormat="1" applyFont="1"/>
    <xf numFmtId="164" fontId="6" fillId="0" borderId="0" xfId="0" applyNumberFormat="1" applyFont="1"/>
    <xf numFmtId="164" fontId="7" fillId="0" borderId="0" xfId="0" applyNumberFormat="1" applyFont="1"/>
    <xf numFmtId="0" fontId="8" fillId="0" borderId="0" xfId="0" applyFont="1"/>
    <xf numFmtId="164" fontId="8" fillId="0" borderId="0" xfId="0" applyNumberFormat="1" applyFont="1"/>
    <xf numFmtId="0" fontId="3" fillId="0" borderId="0" xfId="0" applyFont="1"/>
    <xf numFmtId="0" fontId="0" fillId="2" borderId="0" xfId="0" applyFill="1"/>
    <xf numFmtId="0" fontId="0" fillId="3" borderId="0" xfId="0" applyFill="1"/>
    <xf numFmtId="164" fontId="0" fillId="3" borderId="0" xfId="0" applyNumberFormat="1" applyFill="1"/>
    <xf numFmtId="0" fontId="0" fillId="4" borderId="0" xfId="0" applyFill="1"/>
    <xf numFmtId="0" fontId="8" fillId="4" borderId="0" xfId="0" applyFont="1" applyFill="1"/>
    <xf numFmtId="164" fontId="8" fillId="4" borderId="0" xfId="0" applyNumberFormat="1" applyFont="1" applyFill="1"/>
    <xf numFmtId="164" fontId="0" fillId="4" borderId="0" xfId="0" applyNumberFormat="1" applyFill="1"/>
    <xf numFmtId="0" fontId="3" fillId="4" borderId="0" xfId="0" applyFont="1" applyFill="1"/>
    <xf numFmtId="1" fontId="3" fillId="4" borderId="0" xfId="0" applyNumberFormat="1" applyFont="1" applyFill="1"/>
    <xf numFmtId="164" fontId="3" fillId="4" borderId="0" xfId="0" applyNumberFormat="1" applyFont="1" applyFill="1"/>
    <xf numFmtId="0" fontId="0" fillId="5" borderId="0" xfId="0" applyFill="1"/>
    <xf numFmtId="164" fontId="0" fillId="5" borderId="0" xfId="0" applyNumberFormat="1" applyFill="1"/>
    <xf numFmtId="0" fontId="9" fillId="0" borderId="0" xfId="0" applyFont="1"/>
    <xf numFmtId="164" fontId="9" fillId="0" borderId="0" xfId="0" applyNumberFormat="1" applyFont="1"/>
    <xf numFmtId="164" fontId="4" fillId="0" borderId="0" xfId="0" applyNumberFormat="1" applyFont="1"/>
    <xf numFmtId="0" fontId="10" fillId="0" borderId="0" xfId="0" applyFont="1"/>
    <xf numFmtId="164" fontId="10" fillId="0" borderId="0" xfId="0" applyNumberFormat="1" applyFont="1"/>
    <xf numFmtId="2" fontId="8" fillId="0" borderId="0" xfId="0" applyNumberFormat="1" applyFont="1"/>
    <xf numFmtId="3" fontId="0" fillId="0" borderId="0" xfId="0" applyNumberFormat="1"/>
    <xf numFmtId="2" fontId="10" fillId="0" borderId="0" xfId="0" applyNumberFormat="1" applyFont="1"/>
    <xf numFmtId="0" fontId="11" fillId="0" borderId="0" xfId="0" applyFont="1"/>
    <xf numFmtId="164" fontId="11" fillId="0" borderId="0" xfId="0" applyNumberFormat="1" applyFont="1"/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scatterChart>
        <c:scatterStyle val="lineMarker"/>
        <c:ser>
          <c:idx val="0"/>
          <c:order val="0"/>
          <c:tx>
            <c:strRef>
              <c:f>Sheet1!$M$80</c:f>
              <c:strCache>
                <c:ptCount val="1"/>
                <c:pt idx="0">
                  <c:v>"NSW"</c:v>
                </c:pt>
              </c:strCache>
            </c:strRef>
          </c:tx>
          <c:xVal>
            <c:numRef>
              <c:f>Sheet1!$N$79:$P$79</c:f>
              <c:numCache>
                <c:formatCode>General</c:formatCode>
                <c:ptCount val="3"/>
                <c:pt idx="0">
                  <c:v>1845</c:v>
                </c:pt>
                <c:pt idx="1">
                  <c:v>1972</c:v>
                </c:pt>
                <c:pt idx="2">
                  <c:v>2009</c:v>
                </c:pt>
              </c:numCache>
            </c:numRef>
          </c:xVal>
          <c:yVal>
            <c:numRef>
              <c:f>Sheet1!$N$80:$P$80</c:f>
              <c:numCache>
                <c:formatCode>General</c:formatCode>
                <c:ptCount val="3"/>
                <c:pt idx="0">
                  <c:v>4.0999999999999996</c:v>
                </c:pt>
                <c:pt idx="2">
                  <c:v>2.9</c:v>
                </c:pt>
              </c:numCache>
            </c:numRef>
          </c:yVal>
        </c:ser>
        <c:ser>
          <c:idx val="1"/>
          <c:order val="1"/>
          <c:tx>
            <c:strRef>
              <c:f>Sheet1!$M$81</c:f>
              <c:strCache>
                <c:ptCount val="1"/>
                <c:pt idx="0">
                  <c:v>Tasmania</c:v>
                </c:pt>
              </c:strCache>
            </c:strRef>
          </c:tx>
          <c:xVal>
            <c:numRef>
              <c:f>Sheet1!$N$79:$P$79</c:f>
              <c:numCache>
                <c:formatCode>General</c:formatCode>
                <c:ptCount val="3"/>
                <c:pt idx="0">
                  <c:v>1845</c:v>
                </c:pt>
                <c:pt idx="1">
                  <c:v>1972</c:v>
                </c:pt>
                <c:pt idx="2">
                  <c:v>2009</c:v>
                </c:pt>
              </c:numCache>
            </c:numRef>
          </c:xVal>
          <c:yVal>
            <c:numRef>
              <c:f>Sheet1!$N$81:$P$81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2.5</c:v>
                </c:pt>
              </c:numCache>
            </c:numRef>
          </c:yVal>
        </c:ser>
        <c:axId val="97428992"/>
        <c:axId val="97430528"/>
      </c:scatterChart>
      <c:valAx>
        <c:axId val="97428992"/>
        <c:scaling>
          <c:orientation val="minMax"/>
        </c:scaling>
        <c:axPos val="b"/>
        <c:numFmt formatCode="General" sourceLinked="1"/>
        <c:tickLblPos val="nextTo"/>
        <c:crossAx val="97430528"/>
        <c:crosses val="autoZero"/>
        <c:crossBetween val="midCat"/>
      </c:valAx>
      <c:valAx>
        <c:axId val="97430528"/>
        <c:scaling>
          <c:orientation val="minMax"/>
        </c:scaling>
        <c:axPos val="l"/>
        <c:majorGridlines/>
        <c:numFmt formatCode="General" sourceLinked="1"/>
        <c:tickLblPos val="nextTo"/>
        <c:crossAx val="9742899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205740</xdr:colOff>
      <xdr:row>65</xdr:row>
      <xdr:rowOff>76200</xdr:rowOff>
    </xdr:from>
    <xdr:to>
      <xdr:col>29</xdr:col>
      <xdr:colOff>510540</xdr:colOff>
      <xdr:row>80</xdr:row>
      <xdr:rowOff>76200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mazingcarbon.com/PDF/JONES-SoilSequestrationInquiry(17Dec09).pdf" TargetMode="External"/><Relationship Id="rId1" Type="http://schemas.openxmlformats.org/officeDocument/2006/relationships/hyperlink" Target="https://archive.org/details/PhysicalDescriptionOfNewSouthWalesAndVanDiemensLand/page/n42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3"/>
  <sheetViews>
    <sheetView tabSelected="1" workbookViewId="0"/>
  </sheetViews>
  <sheetFormatPr defaultRowHeight="14.4"/>
  <cols>
    <col min="8" max="8" width="10.5546875" bestFit="1" customWidth="1"/>
    <col min="12" max="12" width="9.77734375" customWidth="1"/>
  </cols>
  <sheetData>
    <row r="1" spans="1:20" ht="15.6">
      <c r="A1" s="1" t="s">
        <v>66</v>
      </c>
    </row>
    <row r="2" spans="1:20">
      <c r="A2" s="2" t="s">
        <v>0</v>
      </c>
      <c r="J2" t="s">
        <v>59</v>
      </c>
    </row>
    <row r="3" spans="1:20">
      <c r="A3" s="5" t="s">
        <v>58</v>
      </c>
      <c r="M3" s="11" t="s">
        <v>137</v>
      </c>
    </row>
    <row r="4" spans="1:20">
      <c r="I4" t="s">
        <v>127</v>
      </c>
      <c r="J4" t="s">
        <v>100</v>
      </c>
      <c r="M4" t="s">
        <v>64</v>
      </c>
      <c r="P4" t="s">
        <v>65</v>
      </c>
      <c r="Q4" t="s">
        <v>67</v>
      </c>
    </row>
    <row r="5" spans="1:20">
      <c r="A5" t="s">
        <v>1</v>
      </c>
      <c r="B5" t="s">
        <v>8</v>
      </c>
      <c r="C5" t="s">
        <v>2</v>
      </c>
      <c r="D5" t="s">
        <v>3</v>
      </c>
      <c r="E5" t="s">
        <v>4</v>
      </c>
      <c r="F5" t="s">
        <v>14</v>
      </c>
      <c r="G5" t="s">
        <v>13</v>
      </c>
      <c r="H5" t="s">
        <v>5</v>
      </c>
      <c r="I5" t="s">
        <v>128</v>
      </c>
      <c r="J5" t="s">
        <v>98</v>
      </c>
      <c r="M5" t="s">
        <v>1</v>
      </c>
      <c r="N5" t="s">
        <v>129</v>
      </c>
      <c r="O5" t="s">
        <v>14</v>
      </c>
      <c r="P5" t="s">
        <v>1</v>
      </c>
      <c r="Q5" t="s">
        <v>129</v>
      </c>
      <c r="R5" t="s">
        <v>14</v>
      </c>
      <c r="T5" t="s">
        <v>99</v>
      </c>
    </row>
    <row r="6" spans="1:20" s="22" customFormat="1">
      <c r="A6" s="22">
        <v>1</v>
      </c>
      <c r="B6" s="22" t="s">
        <v>6</v>
      </c>
      <c r="C6" s="22" t="s">
        <v>7</v>
      </c>
      <c r="D6" s="22">
        <v>1.9</v>
      </c>
      <c r="E6" s="22">
        <v>18.440000000000001</v>
      </c>
      <c r="F6" s="22">
        <v>6.53</v>
      </c>
      <c r="G6" s="22">
        <v>2.7</v>
      </c>
      <c r="H6" s="22">
        <f>SUM(100-(F6))</f>
        <v>93.47</v>
      </c>
      <c r="I6" s="23">
        <f>SUM((E6/100)*(H6))</f>
        <v>17.235868</v>
      </c>
      <c r="J6" s="23">
        <f>SUM((G6)/100)*H6</f>
        <v>2.5236900000000002</v>
      </c>
      <c r="M6" s="22">
        <v>1</v>
      </c>
      <c r="N6" s="23">
        <f>SUM((E6/100)*(H6))</f>
        <v>17.235868</v>
      </c>
      <c r="O6" s="22">
        <v>6.53</v>
      </c>
      <c r="Q6" s="23"/>
      <c r="T6" s="22" t="s">
        <v>9</v>
      </c>
    </row>
    <row r="7" spans="1:20" s="22" customFormat="1">
      <c r="A7" s="22">
        <v>2</v>
      </c>
      <c r="B7" s="22" t="s">
        <v>6</v>
      </c>
      <c r="C7" s="22" t="s">
        <v>7</v>
      </c>
      <c r="D7" s="22">
        <v>2.2000000000000002</v>
      </c>
      <c r="E7" s="22">
        <v>15.6</v>
      </c>
      <c r="F7" s="22">
        <v>5.5</v>
      </c>
      <c r="G7" s="22">
        <v>2</v>
      </c>
      <c r="H7" s="22">
        <f t="shared" ref="H7:H46" si="0">SUM(100-(F7))</f>
        <v>94.5</v>
      </c>
      <c r="I7" s="23">
        <f t="shared" ref="I7:I46" si="1">SUM((E7/100)*(H7))</f>
        <v>14.741999999999999</v>
      </c>
      <c r="J7" s="23">
        <f t="shared" ref="J7:J46" si="2">SUM((G7)/100)*H7</f>
        <v>1.8900000000000001</v>
      </c>
      <c r="M7" s="22">
        <v>2</v>
      </c>
      <c r="N7" s="23">
        <f t="shared" ref="N7:N46" si="3">SUM((E7/100)*(H7))</f>
        <v>14.741999999999999</v>
      </c>
      <c r="O7" s="22">
        <v>5.5</v>
      </c>
      <c r="Q7" s="23"/>
      <c r="T7" s="22" t="s">
        <v>10</v>
      </c>
    </row>
    <row r="8" spans="1:20" s="22" customFormat="1">
      <c r="A8" s="22">
        <v>3</v>
      </c>
      <c r="B8" s="22" t="s">
        <v>6</v>
      </c>
      <c r="C8" s="22" t="s">
        <v>7</v>
      </c>
      <c r="D8" s="22" t="s">
        <v>12</v>
      </c>
      <c r="E8" s="22">
        <v>7.3</v>
      </c>
      <c r="F8" s="22">
        <v>4</v>
      </c>
      <c r="G8" s="22">
        <v>6.2</v>
      </c>
      <c r="H8" s="22">
        <f t="shared" si="0"/>
        <v>96</v>
      </c>
      <c r="I8" s="23">
        <f t="shared" si="1"/>
        <v>7.0079999999999991</v>
      </c>
      <c r="J8" s="23">
        <f t="shared" si="2"/>
        <v>5.952</v>
      </c>
      <c r="M8" s="22">
        <v>3</v>
      </c>
      <c r="N8" s="23">
        <f t="shared" si="3"/>
        <v>7.0079999999999991</v>
      </c>
      <c r="O8" s="22">
        <v>4</v>
      </c>
      <c r="Q8" s="23"/>
      <c r="T8" s="22" t="s">
        <v>9</v>
      </c>
    </row>
    <row r="9" spans="1:20" s="22" customFormat="1">
      <c r="A9" s="22">
        <v>4</v>
      </c>
      <c r="B9" s="22" t="s">
        <v>6</v>
      </c>
      <c r="C9" s="22" t="s">
        <v>7</v>
      </c>
      <c r="D9" s="22" t="s">
        <v>12</v>
      </c>
      <c r="E9" s="22">
        <v>8.1</v>
      </c>
      <c r="F9" s="22">
        <v>3</v>
      </c>
      <c r="G9" s="22">
        <v>6.5</v>
      </c>
      <c r="H9" s="22">
        <f t="shared" si="0"/>
        <v>97</v>
      </c>
      <c r="I9" s="23">
        <f t="shared" si="1"/>
        <v>7.8570000000000002</v>
      </c>
      <c r="J9" s="23">
        <f t="shared" si="2"/>
        <v>6.3050000000000006</v>
      </c>
      <c r="M9" s="22">
        <v>4</v>
      </c>
      <c r="N9" s="23">
        <f t="shared" si="3"/>
        <v>7.8570000000000002</v>
      </c>
      <c r="O9" s="22">
        <v>3</v>
      </c>
      <c r="Q9" s="23"/>
      <c r="T9" s="22" t="s">
        <v>11</v>
      </c>
    </row>
    <row r="10" spans="1:20" s="22" customFormat="1">
      <c r="A10" s="22">
        <v>5</v>
      </c>
      <c r="B10" s="22" t="s">
        <v>6</v>
      </c>
      <c r="C10" s="22" t="s">
        <v>7</v>
      </c>
      <c r="D10" s="22" t="s">
        <v>12</v>
      </c>
      <c r="E10" s="22">
        <v>9</v>
      </c>
      <c r="F10" s="22">
        <v>4</v>
      </c>
      <c r="G10" s="22">
        <v>3.2</v>
      </c>
      <c r="H10" s="22">
        <f t="shared" si="0"/>
        <v>96</v>
      </c>
      <c r="I10" s="23">
        <f t="shared" si="1"/>
        <v>8.64</v>
      </c>
      <c r="J10" s="23">
        <f t="shared" si="2"/>
        <v>3.0720000000000001</v>
      </c>
      <c r="L10" s="22" t="s">
        <v>62</v>
      </c>
      <c r="M10" s="22">
        <v>5</v>
      </c>
      <c r="N10" s="23">
        <f t="shared" si="3"/>
        <v>8.64</v>
      </c>
      <c r="O10" s="22">
        <v>4</v>
      </c>
      <c r="Q10" s="23"/>
      <c r="T10" s="22" t="s">
        <v>9</v>
      </c>
    </row>
    <row r="11" spans="1:20" s="22" customFormat="1">
      <c r="A11" s="22">
        <v>6</v>
      </c>
      <c r="B11" s="22" t="s">
        <v>6</v>
      </c>
      <c r="C11" s="22" t="s">
        <v>7</v>
      </c>
      <c r="D11" s="22" t="s">
        <v>12</v>
      </c>
      <c r="E11" s="22">
        <v>10</v>
      </c>
      <c r="F11" s="22">
        <v>5.2</v>
      </c>
      <c r="G11" s="22">
        <v>2.5</v>
      </c>
      <c r="H11" s="22">
        <f t="shared" si="0"/>
        <v>94.8</v>
      </c>
      <c r="I11" s="23">
        <f t="shared" si="1"/>
        <v>9.48</v>
      </c>
      <c r="J11" s="23">
        <f t="shared" si="2"/>
        <v>2.37</v>
      </c>
      <c r="M11" s="22">
        <v>6</v>
      </c>
      <c r="N11" s="23">
        <f t="shared" si="3"/>
        <v>9.48</v>
      </c>
      <c r="O11" s="22">
        <v>5.2</v>
      </c>
      <c r="Q11" s="23"/>
      <c r="T11" s="22" t="s">
        <v>10</v>
      </c>
    </row>
    <row r="12" spans="1:20" s="22" customFormat="1">
      <c r="A12" s="22">
        <v>7</v>
      </c>
      <c r="B12" s="22" t="s">
        <v>6</v>
      </c>
      <c r="C12" s="22" t="s">
        <v>7</v>
      </c>
      <c r="D12" s="22">
        <v>1.4</v>
      </c>
      <c r="E12" s="22">
        <v>6.8</v>
      </c>
      <c r="F12" s="22">
        <v>2</v>
      </c>
      <c r="G12" s="22">
        <v>2.5</v>
      </c>
      <c r="H12" s="22">
        <f t="shared" si="0"/>
        <v>98</v>
      </c>
      <c r="I12" s="23">
        <f t="shared" si="1"/>
        <v>6.6640000000000006</v>
      </c>
      <c r="J12" s="23">
        <f t="shared" si="2"/>
        <v>2.4500000000000002</v>
      </c>
      <c r="N12" s="23"/>
      <c r="O12" s="22">
        <v>2</v>
      </c>
      <c r="P12" s="22">
        <v>7</v>
      </c>
      <c r="Q12" s="23">
        <f t="shared" ref="Q12:Q43" si="4">SUM((E12/100)*(H12))</f>
        <v>6.6640000000000006</v>
      </c>
      <c r="R12" s="22">
        <v>2</v>
      </c>
      <c r="T12" s="22" t="s">
        <v>9</v>
      </c>
    </row>
    <row r="13" spans="1:20" s="22" customFormat="1">
      <c r="A13" s="22">
        <v>8</v>
      </c>
      <c r="B13" s="22" t="s">
        <v>6</v>
      </c>
      <c r="C13" s="22" t="s">
        <v>7</v>
      </c>
      <c r="D13" s="22" t="s">
        <v>12</v>
      </c>
      <c r="E13" s="22">
        <v>7.5</v>
      </c>
      <c r="F13" s="22">
        <v>3</v>
      </c>
      <c r="G13" s="22">
        <v>1.2</v>
      </c>
      <c r="H13" s="22">
        <f t="shared" si="0"/>
        <v>97</v>
      </c>
      <c r="I13" s="23">
        <f t="shared" si="1"/>
        <v>7.2749999999999995</v>
      </c>
      <c r="J13" s="23">
        <f t="shared" si="2"/>
        <v>1.1639999999999999</v>
      </c>
      <c r="M13" s="22">
        <v>8</v>
      </c>
      <c r="N13" s="23">
        <f t="shared" si="3"/>
        <v>7.2749999999999995</v>
      </c>
      <c r="O13" s="22">
        <v>3</v>
      </c>
      <c r="Q13" s="23"/>
      <c r="T13" s="22" t="s">
        <v>10</v>
      </c>
    </row>
    <row r="14" spans="1:20" s="22" customFormat="1">
      <c r="A14" s="22">
        <v>9</v>
      </c>
      <c r="B14" s="22" t="s">
        <v>6</v>
      </c>
      <c r="C14" s="22" t="s">
        <v>15</v>
      </c>
      <c r="D14" s="22">
        <v>2.5</v>
      </c>
      <c r="E14" s="22">
        <v>2.2000000000000002</v>
      </c>
      <c r="F14" s="22">
        <v>2</v>
      </c>
      <c r="G14" s="22">
        <v>6</v>
      </c>
      <c r="H14" s="22">
        <f t="shared" si="0"/>
        <v>98</v>
      </c>
      <c r="I14" s="23">
        <f t="shared" si="1"/>
        <v>2.1560000000000001</v>
      </c>
      <c r="J14" s="23">
        <f t="shared" si="2"/>
        <v>5.88</v>
      </c>
      <c r="N14" s="23"/>
      <c r="O14" s="22">
        <v>2</v>
      </c>
      <c r="P14" s="22">
        <v>9</v>
      </c>
      <c r="Q14" s="23">
        <f t="shared" si="4"/>
        <v>2.1560000000000001</v>
      </c>
      <c r="R14" s="22">
        <v>2</v>
      </c>
      <c r="T14" s="22" t="s">
        <v>16</v>
      </c>
    </row>
    <row r="15" spans="1:20" s="22" customFormat="1">
      <c r="A15" s="22">
        <v>10</v>
      </c>
      <c r="B15" s="22" t="s">
        <v>6</v>
      </c>
      <c r="C15" s="22" t="s">
        <v>17</v>
      </c>
      <c r="D15" s="22">
        <v>1.6</v>
      </c>
      <c r="E15" s="22">
        <v>15</v>
      </c>
      <c r="F15" s="22">
        <v>8</v>
      </c>
      <c r="G15" s="22">
        <v>8</v>
      </c>
      <c r="H15" s="22">
        <f t="shared" si="0"/>
        <v>92</v>
      </c>
      <c r="I15" s="23">
        <f t="shared" si="1"/>
        <v>13.799999999999999</v>
      </c>
      <c r="J15" s="23">
        <f t="shared" si="2"/>
        <v>7.36</v>
      </c>
      <c r="M15" s="22">
        <v>10</v>
      </c>
      <c r="N15" s="23">
        <f t="shared" si="3"/>
        <v>13.799999999999999</v>
      </c>
      <c r="O15" s="22">
        <v>8</v>
      </c>
      <c r="Q15" s="23"/>
      <c r="T15" s="22" t="s">
        <v>19</v>
      </c>
    </row>
    <row r="16" spans="1:20" s="22" customFormat="1">
      <c r="A16" s="22">
        <v>11</v>
      </c>
      <c r="B16" s="22" t="s">
        <v>6</v>
      </c>
      <c r="C16" s="22" t="s">
        <v>18</v>
      </c>
      <c r="D16" s="22">
        <v>2</v>
      </c>
      <c r="E16" s="22">
        <v>5</v>
      </c>
      <c r="F16" s="22">
        <v>1</v>
      </c>
      <c r="G16" s="22">
        <v>7.2</v>
      </c>
      <c r="H16" s="22">
        <f t="shared" si="0"/>
        <v>99</v>
      </c>
      <c r="I16" s="23">
        <f t="shared" si="1"/>
        <v>4.95</v>
      </c>
      <c r="J16" s="23">
        <f t="shared" si="2"/>
        <v>7.128000000000001</v>
      </c>
      <c r="N16" s="23"/>
      <c r="O16" s="22">
        <v>1</v>
      </c>
      <c r="P16" s="22">
        <v>11</v>
      </c>
      <c r="Q16" s="23">
        <f t="shared" si="4"/>
        <v>4.95</v>
      </c>
      <c r="R16" s="22">
        <v>1</v>
      </c>
      <c r="T16" s="22" t="s">
        <v>20</v>
      </c>
    </row>
    <row r="17" spans="1:20" s="22" customFormat="1">
      <c r="A17" s="22">
        <v>12</v>
      </c>
      <c r="B17" s="22" t="s">
        <v>6</v>
      </c>
      <c r="C17" s="22" t="s">
        <v>21</v>
      </c>
      <c r="D17" s="22">
        <v>2.9</v>
      </c>
      <c r="E17" s="22">
        <v>3.5</v>
      </c>
      <c r="F17" s="22">
        <v>2.5</v>
      </c>
      <c r="G17" s="22">
        <v>6.2</v>
      </c>
      <c r="H17" s="22">
        <f t="shared" si="0"/>
        <v>97.5</v>
      </c>
      <c r="I17" s="23">
        <f t="shared" si="1"/>
        <v>3.4125000000000005</v>
      </c>
      <c r="J17" s="23">
        <f t="shared" si="2"/>
        <v>6.0449999999999999</v>
      </c>
      <c r="N17" s="23"/>
      <c r="O17" s="22">
        <v>2.5</v>
      </c>
      <c r="P17" s="22">
        <v>12</v>
      </c>
      <c r="Q17" s="23">
        <f t="shared" si="4"/>
        <v>3.4125000000000005</v>
      </c>
      <c r="R17" s="22">
        <v>2.5</v>
      </c>
      <c r="T17" s="22" t="s">
        <v>22</v>
      </c>
    </row>
    <row r="18" spans="1:20" s="22" customFormat="1">
      <c r="A18" s="22">
        <v>13</v>
      </c>
      <c r="B18" s="22" t="s">
        <v>6</v>
      </c>
      <c r="C18" s="22" t="s">
        <v>23</v>
      </c>
      <c r="D18" s="22">
        <v>3.5</v>
      </c>
      <c r="E18" s="22">
        <v>4</v>
      </c>
      <c r="F18" s="22">
        <v>0.5</v>
      </c>
      <c r="G18" s="22">
        <v>1.5</v>
      </c>
      <c r="H18" s="22">
        <f t="shared" si="0"/>
        <v>99.5</v>
      </c>
      <c r="I18" s="23">
        <f t="shared" si="1"/>
        <v>3.98</v>
      </c>
      <c r="J18" s="23">
        <f t="shared" si="2"/>
        <v>1.4924999999999999</v>
      </c>
      <c r="N18" s="23"/>
      <c r="O18" s="22">
        <v>0.5</v>
      </c>
      <c r="P18" s="22">
        <v>13</v>
      </c>
      <c r="Q18" s="23">
        <f t="shared" si="4"/>
        <v>3.98</v>
      </c>
      <c r="R18" s="22">
        <v>0.5</v>
      </c>
      <c r="T18" s="22" t="s">
        <v>24</v>
      </c>
    </row>
    <row r="19" spans="1:20" s="13" customFormat="1">
      <c r="A19" s="13">
        <v>14</v>
      </c>
      <c r="B19" s="13" t="s">
        <v>25</v>
      </c>
      <c r="C19" s="13" t="s">
        <v>26</v>
      </c>
      <c r="D19" s="13">
        <v>1.1000000000000001</v>
      </c>
      <c r="E19" s="13">
        <v>37.75</v>
      </c>
      <c r="F19" s="13">
        <v>24.4</v>
      </c>
      <c r="G19" s="13">
        <v>10.3</v>
      </c>
      <c r="H19" s="13">
        <f t="shared" si="0"/>
        <v>75.599999999999994</v>
      </c>
      <c r="I19" s="14">
        <f t="shared" si="1"/>
        <v>28.538999999999998</v>
      </c>
      <c r="J19" s="14">
        <f t="shared" si="2"/>
        <v>7.7868000000000004</v>
      </c>
      <c r="M19" s="13">
        <v>14</v>
      </c>
      <c r="N19" s="14">
        <f t="shared" si="3"/>
        <v>28.538999999999998</v>
      </c>
      <c r="O19" s="13">
        <v>24.4</v>
      </c>
      <c r="Q19" s="14"/>
      <c r="T19" s="13" t="s">
        <v>27</v>
      </c>
    </row>
    <row r="20" spans="1:20" s="13" customFormat="1">
      <c r="A20" s="13">
        <v>15</v>
      </c>
      <c r="B20" s="13" t="s">
        <v>25</v>
      </c>
      <c r="C20" s="13" t="s">
        <v>26</v>
      </c>
      <c r="D20" s="13" t="s">
        <v>12</v>
      </c>
      <c r="E20" s="13">
        <v>34.049999999999997</v>
      </c>
      <c r="F20" s="13">
        <v>22.8</v>
      </c>
      <c r="G20" s="13">
        <v>1.5</v>
      </c>
      <c r="H20" s="13">
        <f t="shared" si="0"/>
        <v>77.2</v>
      </c>
      <c r="I20" s="14">
        <f t="shared" si="1"/>
        <v>26.2866</v>
      </c>
      <c r="J20" s="14">
        <f t="shared" si="2"/>
        <v>1.1579999999999999</v>
      </c>
      <c r="M20" s="13">
        <v>15</v>
      </c>
      <c r="N20" s="14">
        <f t="shared" si="3"/>
        <v>26.2866</v>
      </c>
      <c r="O20" s="13">
        <v>22.8</v>
      </c>
      <c r="Q20" s="14"/>
      <c r="T20" s="13" t="s">
        <v>28</v>
      </c>
    </row>
    <row r="21" spans="1:20" s="13" customFormat="1">
      <c r="A21" s="13">
        <v>16</v>
      </c>
      <c r="B21" s="13" t="s">
        <v>25</v>
      </c>
      <c r="C21" s="13" t="s">
        <v>26</v>
      </c>
      <c r="D21" s="13">
        <v>1.7</v>
      </c>
      <c r="E21" s="13">
        <v>9.6999999999999993</v>
      </c>
      <c r="F21" s="13">
        <v>8</v>
      </c>
      <c r="G21" s="13" t="s">
        <v>12</v>
      </c>
      <c r="H21" s="13">
        <f t="shared" si="0"/>
        <v>92</v>
      </c>
      <c r="I21" s="14">
        <f t="shared" si="1"/>
        <v>8.9239999999999995</v>
      </c>
      <c r="J21" s="14"/>
      <c r="N21" s="14"/>
      <c r="O21" s="13">
        <v>8</v>
      </c>
      <c r="P21" s="13">
        <v>16</v>
      </c>
      <c r="Q21" s="14">
        <f t="shared" si="4"/>
        <v>8.9239999999999995</v>
      </c>
      <c r="R21" s="13">
        <v>8</v>
      </c>
      <c r="T21" s="13" t="s">
        <v>29</v>
      </c>
    </row>
    <row r="22" spans="1:20" s="13" customFormat="1">
      <c r="A22" s="13">
        <v>17</v>
      </c>
      <c r="B22" s="13" t="s">
        <v>25</v>
      </c>
      <c r="C22" s="13" t="s">
        <v>26</v>
      </c>
      <c r="D22" s="13">
        <v>1.3</v>
      </c>
      <c r="E22" s="13">
        <v>10.6</v>
      </c>
      <c r="F22" s="13">
        <v>12.8</v>
      </c>
      <c r="G22" s="13" t="s">
        <v>12</v>
      </c>
      <c r="H22" s="13">
        <f t="shared" si="0"/>
        <v>87.2</v>
      </c>
      <c r="I22" s="14">
        <f t="shared" si="1"/>
        <v>9.2431999999999999</v>
      </c>
      <c r="J22" s="14"/>
      <c r="N22" s="14"/>
      <c r="O22" s="13">
        <v>12.8</v>
      </c>
      <c r="P22" s="13">
        <v>17</v>
      </c>
      <c r="Q22" s="14">
        <f t="shared" si="4"/>
        <v>9.2431999999999999</v>
      </c>
      <c r="R22" s="13">
        <v>12.8</v>
      </c>
      <c r="T22" s="13" t="s">
        <v>30</v>
      </c>
    </row>
    <row r="23" spans="1:20" s="13" customFormat="1">
      <c r="A23" s="13">
        <v>18</v>
      </c>
      <c r="B23" s="13" t="s">
        <v>25</v>
      </c>
      <c r="C23" s="13" t="s">
        <v>31</v>
      </c>
      <c r="D23" s="13">
        <v>2.2000000000000002</v>
      </c>
      <c r="E23" s="13">
        <v>11</v>
      </c>
      <c r="F23" s="13">
        <v>6</v>
      </c>
      <c r="G23" s="13">
        <v>2.1</v>
      </c>
      <c r="H23" s="13">
        <f t="shared" si="0"/>
        <v>94</v>
      </c>
      <c r="I23" s="14">
        <f t="shared" si="1"/>
        <v>10.34</v>
      </c>
      <c r="J23" s="14">
        <f t="shared" si="2"/>
        <v>1.9740000000000002</v>
      </c>
      <c r="M23" s="13">
        <v>18</v>
      </c>
      <c r="N23" s="14">
        <f t="shared" si="3"/>
        <v>10.34</v>
      </c>
      <c r="O23" s="13">
        <v>6</v>
      </c>
      <c r="Q23" s="14"/>
      <c r="T23" s="13" t="s">
        <v>10</v>
      </c>
    </row>
    <row r="24" spans="1:20" s="13" customFormat="1">
      <c r="A24" s="13">
        <v>19</v>
      </c>
      <c r="B24" s="13" t="s">
        <v>25</v>
      </c>
      <c r="C24" s="13" t="s">
        <v>31</v>
      </c>
      <c r="D24" s="13">
        <v>2.75</v>
      </c>
      <c r="E24" s="13">
        <v>8</v>
      </c>
      <c r="F24" s="13">
        <v>5</v>
      </c>
      <c r="G24" s="13">
        <v>2</v>
      </c>
      <c r="H24" s="13">
        <f t="shared" si="0"/>
        <v>95</v>
      </c>
      <c r="I24" s="14">
        <f t="shared" si="1"/>
        <v>7.6000000000000005</v>
      </c>
      <c r="J24" s="14">
        <f t="shared" si="2"/>
        <v>1.9000000000000001</v>
      </c>
      <c r="N24" s="14"/>
      <c r="O24" s="13">
        <v>5</v>
      </c>
      <c r="P24" s="13">
        <v>19</v>
      </c>
      <c r="Q24" s="14">
        <f t="shared" si="4"/>
        <v>7.6000000000000005</v>
      </c>
      <c r="R24" s="13">
        <v>5</v>
      </c>
      <c r="T24" s="13" t="s">
        <v>9</v>
      </c>
    </row>
    <row r="25" spans="1:20" s="13" customFormat="1">
      <c r="A25" s="13">
        <v>20</v>
      </c>
      <c r="B25" s="13" t="s">
        <v>25</v>
      </c>
      <c r="C25" s="13" t="s">
        <v>32</v>
      </c>
      <c r="D25" s="13">
        <v>3.27</v>
      </c>
      <c r="E25" s="13">
        <v>7.49</v>
      </c>
      <c r="F25" s="13">
        <v>10</v>
      </c>
      <c r="G25" s="13">
        <v>5.26</v>
      </c>
      <c r="H25" s="13">
        <f t="shared" si="0"/>
        <v>90</v>
      </c>
      <c r="I25" s="14">
        <f t="shared" si="1"/>
        <v>6.7410000000000005</v>
      </c>
      <c r="J25" s="14">
        <f t="shared" si="2"/>
        <v>4.734</v>
      </c>
      <c r="M25" s="13" t="s">
        <v>23</v>
      </c>
      <c r="N25" s="14"/>
      <c r="O25" s="13">
        <v>10</v>
      </c>
      <c r="P25" s="13" t="s">
        <v>23</v>
      </c>
      <c r="Q25" s="14"/>
      <c r="T25" s="13" t="s">
        <v>9</v>
      </c>
    </row>
    <row r="26" spans="1:20" s="13" customFormat="1">
      <c r="A26" s="13">
        <v>21</v>
      </c>
      <c r="B26" s="13" t="s">
        <v>25</v>
      </c>
      <c r="C26" s="13" t="s">
        <v>33</v>
      </c>
      <c r="D26" s="13">
        <v>1.95</v>
      </c>
      <c r="E26" s="13">
        <v>9.2799999999999994</v>
      </c>
      <c r="F26" s="13">
        <v>10</v>
      </c>
      <c r="G26" s="13">
        <v>5.4</v>
      </c>
      <c r="H26" s="13">
        <f t="shared" si="0"/>
        <v>90</v>
      </c>
      <c r="I26" s="14">
        <f t="shared" si="1"/>
        <v>8.3520000000000003</v>
      </c>
      <c r="J26" s="14">
        <f t="shared" si="2"/>
        <v>4.8600000000000003</v>
      </c>
      <c r="M26" s="13">
        <v>21</v>
      </c>
      <c r="N26" s="14">
        <f t="shared" si="3"/>
        <v>8.3520000000000003</v>
      </c>
      <c r="O26" s="13">
        <v>10</v>
      </c>
      <c r="Q26" s="14"/>
      <c r="T26" s="13" t="s">
        <v>10</v>
      </c>
    </row>
    <row r="27" spans="1:20" s="13" customFormat="1">
      <c r="A27" s="13">
        <v>22</v>
      </c>
      <c r="B27" s="13" t="s">
        <v>25</v>
      </c>
      <c r="C27" s="13" t="s">
        <v>33</v>
      </c>
      <c r="D27" s="13">
        <v>2.7</v>
      </c>
      <c r="E27" s="13">
        <v>18.93</v>
      </c>
      <c r="F27" s="13">
        <v>8.5</v>
      </c>
      <c r="G27" s="13">
        <v>4.2</v>
      </c>
      <c r="H27" s="13">
        <f t="shared" si="0"/>
        <v>91.5</v>
      </c>
      <c r="I27" s="14">
        <f t="shared" si="1"/>
        <v>17.32095</v>
      </c>
      <c r="J27" s="14">
        <f t="shared" si="2"/>
        <v>3.8430000000000004</v>
      </c>
      <c r="M27" s="13">
        <v>22</v>
      </c>
      <c r="N27" s="14">
        <f t="shared" si="3"/>
        <v>17.32095</v>
      </c>
      <c r="O27" s="13">
        <v>8.5</v>
      </c>
      <c r="Q27" s="14"/>
      <c r="T27" s="13" t="s">
        <v>9</v>
      </c>
    </row>
    <row r="28" spans="1:20" s="13" customFormat="1">
      <c r="A28" s="13">
        <v>23</v>
      </c>
      <c r="B28" s="13" t="s">
        <v>25</v>
      </c>
      <c r="C28" s="13" t="s">
        <v>33</v>
      </c>
      <c r="D28" s="13">
        <v>6.09</v>
      </c>
      <c r="E28" s="13">
        <v>4.33</v>
      </c>
      <c r="F28" s="13">
        <v>8</v>
      </c>
      <c r="G28" s="13" t="s">
        <v>12</v>
      </c>
      <c r="H28" s="13">
        <f t="shared" si="0"/>
        <v>92</v>
      </c>
      <c r="I28" s="14">
        <f t="shared" si="1"/>
        <v>3.9836</v>
      </c>
      <c r="J28" s="14"/>
      <c r="N28" s="14"/>
      <c r="O28" s="13">
        <v>8</v>
      </c>
      <c r="P28" s="13">
        <v>23</v>
      </c>
      <c r="Q28" s="14">
        <f t="shared" si="4"/>
        <v>3.9836</v>
      </c>
      <c r="R28" s="13">
        <v>8</v>
      </c>
      <c r="T28" s="13" t="s">
        <v>34</v>
      </c>
    </row>
    <row r="29" spans="1:20" s="13" customFormat="1">
      <c r="A29" s="13">
        <v>24</v>
      </c>
      <c r="B29" s="13" t="s">
        <v>25</v>
      </c>
      <c r="C29" s="13" t="s">
        <v>35</v>
      </c>
      <c r="D29" s="13">
        <v>2.2400000000000002</v>
      </c>
      <c r="E29" s="13">
        <v>8.5</v>
      </c>
      <c r="F29" s="13">
        <v>6.6</v>
      </c>
      <c r="G29" s="13">
        <v>8.1</v>
      </c>
      <c r="H29" s="13">
        <f t="shared" si="0"/>
        <v>93.4</v>
      </c>
      <c r="I29" s="14">
        <f t="shared" si="1"/>
        <v>7.9390000000000009</v>
      </c>
      <c r="J29" s="14">
        <f t="shared" si="2"/>
        <v>7.5654000000000003</v>
      </c>
      <c r="M29" s="13">
        <v>24</v>
      </c>
      <c r="N29" s="14">
        <f t="shared" si="3"/>
        <v>7.9390000000000009</v>
      </c>
      <c r="O29" s="13">
        <v>6.6</v>
      </c>
      <c r="Q29" s="14"/>
      <c r="T29" s="13" t="s">
        <v>36</v>
      </c>
    </row>
    <row r="30" spans="1:20" s="13" customFormat="1">
      <c r="A30" s="13">
        <v>25</v>
      </c>
      <c r="B30" s="13" t="s">
        <v>25</v>
      </c>
      <c r="C30" s="13" t="s">
        <v>37</v>
      </c>
      <c r="D30" s="13">
        <v>2.77</v>
      </c>
      <c r="E30" s="13">
        <v>2.16</v>
      </c>
      <c r="F30" s="13">
        <v>1</v>
      </c>
      <c r="G30" s="13">
        <v>15</v>
      </c>
      <c r="H30" s="13">
        <f t="shared" si="0"/>
        <v>99</v>
      </c>
      <c r="I30" s="14">
        <f t="shared" si="1"/>
        <v>2.1384000000000003</v>
      </c>
      <c r="J30" s="14">
        <f t="shared" si="2"/>
        <v>14.85</v>
      </c>
      <c r="M30" s="13" t="s">
        <v>23</v>
      </c>
      <c r="N30" s="14"/>
      <c r="O30" s="13">
        <v>1</v>
      </c>
      <c r="P30" s="13" t="s">
        <v>23</v>
      </c>
      <c r="Q30" s="14"/>
      <c r="T30" s="13" t="s">
        <v>9</v>
      </c>
    </row>
    <row r="31" spans="1:20" s="13" customFormat="1">
      <c r="A31" s="13">
        <v>26</v>
      </c>
      <c r="B31" s="13" t="s">
        <v>25</v>
      </c>
      <c r="C31" s="13" t="s">
        <v>37</v>
      </c>
      <c r="D31" s="13">
        <v>2.8</v>
      </c>
      <c r="E31" s="13">
        <v>5.4</v>
      </c>
      <c r="F31" s="13">
        <v>4</v>
      </c>
      <c r="G31" s="13">
        <v>4.54</v>
      </c>
      <c r="H31" s="13">
        <f t="shared" si="0"/>
        <v>96</v>
      </c>
      <c r="I31" s="14">
        <f t="shared" si="1"/>
        <v>5.1840000000000011</v>
      </c>
      <c r="J31" s="14">
        <f t="shared" si="2"/>
        <v>4.3584000000000005</v>
      </c>
      <c r="N31" s="14"/>
      <c r="O31" s="13">
        <v>4</v>
      </c>
      <c r="P31" s="13">
        <v>26</v>
      </c>
      <c r="Q31" s="14">
        <f t="shared" si="4"/>
        <v>5.1840000000000011</v>
      </c>
      <c r="R31" s="13">
        <v>4</v>
      </c>
      <c r="T31" s="13" t="s">
        <v>9</v>
      </c>
    </row>
    <row r="32" spans="1:20" s="13" customFormat="1">
      <c r="A32" s="13">
        <v>27</v>
      </c>
      <c r="B32" s="13" t="s">
        <v>25</v>
      </c>
      <c r="C32" s="13" t="s">
        <v>38</v>
      </c>
      <c r="D32" s="13">
        <v>1.79</v>
      </c>
      <c r="E32" s="13">
        <v>10.6</v>
      </c>
      <c r="F32" s="13">
        <v>5.5</v>
      </c>
      <c r="G32" s="13">
        <v>5.5</v>
      </c>
      <c r="H32" s="13">
        <f t="shared" si="0"/>
        <v>94.5</v>
      </c>
      <c r="I32" s="14">
        <f t="shared" si="1"/>
        <v>10.016999999999999</v>
      </c>
      <c r="J32" s="14">
        <f t="shared" si="2"/>
        <v>5.1974999999999998</v>
      </c>
      <c r="M32" s="13">
        <v>27</v>
      </c>
      <c r="N32" s="14">
        <f t="shared" si="3"/>
        <v>10.016999999999999</v>
      </c>
      <c r="O32" s="13">
        <v>5.5</v>
      </c>
      <c r="Q32" s="14"/>
      <c r="T32" s="13" t="s">
        <v>9</v>
      </c>
    </row>
    <row r="33" spans="1:20" s="13" customFormat="1">
      <c r="A33" s="13">
        <v>28</v>
      </c>
      <c r="B33" s="13" t="s">
        <v>25</v>
      </c>
      <c r="C33" s="13" t="s">
        <v>38</v>
      </c>
      <c r="D33" s="13">
        <v>2.54</v>
      </c>
      <c r="E33" s="13">
        <v>4</v>
      </c>
      <c r="F33" s="13">
        <v>3</v>
      </c>
      <c r="G33" s="13">
        <v>4.8</v>
      </c>
      <c r="H33" s="13">
        <f t="shared" si="0"/>
        <v>97</v>
      </c>
      <c r="I33" s="14">
        <f t="shared" si="1"/>
        <v>3.88</v>
      </c>
      <c r="J33" s="14">
        <f t="shared" si="2"/>
        <v>4.6559999999999997</v>
      </c>
      <c r="N33" s="14"/>
      <c r="O33" s="13">
        <v>3</v>
      </c>
      <c r="P33" s="13">
        <v>28</v>
      </c>
      <c r="Q33" s="14">
        <f t="shared" si="4"/>
        <v>3.88</v>
      </c>
      <c r="R33" s="13">
        <v>3</v>
      </c>
      <c r="T33" s="13" t="s">
        <v>30</v>
      </c>
    </row>
    <row r="34" spans="1:20" s="13" customFormat="1">
      <c r="A34" s="13">
        <v>29</v>
      </c>
      <c r="B34" s="13" t="s">
        <v>25</v>
      </c>
      <c r="C34" s="13" t="s">
        <v>39</v>
      </c>
      <c r="D34" s="13">
        <v>2.61</v>
      </c>
      <c r="E34" s="13">
        <v>3.6</v>
      </c>
      <c r="F34" s="13">
        <v>1.5</v>
      </c>
      <c r="G34" s="13">
        <v>5.65</v>
      </c>
      <c r="H34" s="13">
        <f t="shared" si="0"/>
        <v>98.5</v>
      </c>
      <c r="I34" s="14">
        <f t="shared" si="1"/>
        <v>3.5460000000000003</v>
      </c>
      <c r="J34" s="14">
        <f t="shared" si="2"/>
        <v>5.5652499999999998</v>
      </c>
      <c r="M34" s="13" t="s">
        <v>23</v>
      </c>
      <c r="N34" s="14"/>
      <c r="O34" s="13">
        <v>1.5</v>
      </c>
      <c r="P34" s="13" t="s">
        <v>23</v>
      </c>
      <c r="Q34" s="14"/>
      <c r="T34" s="13" t="s">
        <v>9</v>
      </c>
    </row>
    <row r="35" spans="1:20" s="13" customFormat="1">
      <c r="A35" s="13">
        <v>30</v>
      </c>
      <c r="B35" s="13" t="s">
        <v>25</v>
      </c>
      <c r="C35" s="13" t="s">
        <v>40</v>
      </c>
      <c r="D35" s="13">
        <v>2.08</v>
      </c>
      <c r="E35" s="13">
        <v>3.65</v>
      </c>
      <c r="F35" s="13">
        <v>1</v>
      </c>
      <c r="G35" s="13">
        <v>2.5</v>
      </c>
      <c r="H35" s="13">
        <f t="shared" si="0"/>
        <v>99</v>
      </c>
      <c r="I35" s="14">
        <f t="shared" si="1"/>
        <v>3.6134999999999997</v>
      </c>
      <c r="J35" s="14">
        <f t="shared" si="2"/>
        <v>2.4750000000000001</v>
      </c>
      <c r="N35" s="14"/>
      <c r="O35" s="13">
        <v>1</v>
      </c>
      <c r="P35" s="13">
        <v>30</v>
      </c>
      <c r="Q35" s="14">
        <f t="shared" si="4"/>
        <v>3.6134999999999997</v>
      </c>
      <c r="R35" s="13">
        <v>1</v>
      </c>
      <c r="T35" s="13" t="s">
        <v>9</v>
      </c>
    </row>
    <row r="36" spans="1:20" s="13" customFormat="1">
      <c r="A36" s="13">
        <v>31</v>
      </c>
      <c r="B36" s="13" t="s">
        <v>25</v>
      </c>
      <c r="C36" s="13" t="s">
        <v>41</v>
      </c>
      <c r="D36" s="13">
        <v>1.99</v>
      </c>
      <c r="E36" s="13">
        <v>11.5</v>
      </c>
      <c r="F36" s="13">
        <v>5.2</v>
      </c>
      <c r="G36" s="13">
        <v>3.8</v>
      </c>
      <c r="H36" s="13">
        <f t="shared" si="0"/>
        <v>94.8</v>
      </c>
      <c r="I36" s="14">
        <f t="shared" si="1"/>
        <v>10.902000000000001</v>
      </c>
      <c r="J36" s="14">
        <f t="shared" si="2"/>
        <v>3.6023999999999998</v>
      </c>
      <c r="M36" s="13">
        <v>31</v>
      </c>
      <c r="N36" s="14">
        <f t="shared" si="3"/>
        <v>10.902000000000001</v>
      </c>
      <c r="O36" s="13">
        <v>5.2</v>
      </c>
      <c r="Q36" s="14"/>
      <c r="T36" s="13" t="s">
        <v>42</v>
      </c>
    </row>
    <row r="37" spans="1:20" s="13" customFormat="1">
      <c r="A37" s="13">
        <v>32</v>
      </c>
      <c r="B37" s="13" t="s">
        <v>25</v>
      </c>
      <c r="C37" s="13" t="s">
        <v>41</v>
      </c>
      <c r="D37" s="13">
        <v>2</v>
      </c>
      <c r="E37" s="13">
        <v>9.5</v>
      </c>
      <c r="F37" s="13">
        <v>4</v>
      </c>
      <c r="G37" s="13">
        <v>2.9</v>
      </c>
      <c r="H37" s="13">
        <f t="shared" si="0"/>
        <v>96</v>
      </c>
      <c r="I37" s="14">
        <f t="shared" si="1"/>
        <v>9.120000000000001</v>
      </c>
      <c r="J37" s="14">
        <f t="shared" si="2"/>
        <v>2.7839999999999998</v>
      </c>
      <c r="M37" s="13">
        <v>32</v>
      </c>
      <c r="N37" s="14">
        <f t="shared" si="3"/>
        <v>9.120000000000001</v>
      </c>
      <c r="O37" s="13">
        <v>4</v>
      </c>
      <c r="Q37" s="14"/>
      <c r="T37" s="13" t="s">
        <v>42</v>
      </c>
    </row>
    <row r="38" spans="1:20" s="13" customFormat="1">
      <c r="A38" s="13">
        <v>33</v>
      </c>
      <c r="B38" s="13" t="s">
        <v>25</v>
      </c>
      <c r="C38" s="13" t="s">
        <v>43</v>
      </c>
      <c r="D38" s="13">
        <v>2.2000000000000002</v>
      </c>
      <c r="E38" s="13">
        <v>5.2</v>
      </c>
      <c r="F38" s="13">
        <v>3.1</v>
      </c>
      <c r="G38" s="13">
        <v>10</v>
      </c>
      <c r="H38" s="13">
        <f t="shared" si="0"/>
        <v>96.9</v>
      </c>
      <c r="I38" s="14">
        <f t="shared" si="1"/>
        <v>5.0388000000000011</v>
      </c>
      <c r="J38" s="14">
        <f t="shared" si="2"/>
        <v>9.6900000000000013</v>
      </c>
      <c r="N38" s="14"/>
      <c r="O38" s="13">
        <v>3.1</v>
      </c>
      <c r="P38" s="13">
        <v>33</v>
      </c>
      <c r="Q38" s="14">
        <f t="shared" si="4"/>
        <v>5.0388000000000011</v>
      </c>
      <c r="R38" s="13">
        <v>3.1</v>
      </c>
      <c r="T38" s="13" t="s">
        <v>34</v>
      </c>
    </row>
    <row r="39" spans="1:20" s="13" customFormat="1">
      <c r="A39" s="13">
        <v>34</v>
      </c>
      <c r="B39" s="13" t="s">
        <v>25</v>
      </c>
      <c r="C39" s="13" t="s">
        <v>44</v>
      </c>
      <c r="D39" s="13">
        <v>1.9</v>
      </c>
      <c r="E39" s="13">
        <v>7.2</v>
      </c>
      <c r="F39" s="13">
        <v>3.1</v>
      </c>
      <c r="G39" s="13">
        <v>2.1</v>
      </c>
      <c r="H39" s="13">
        <f t="shared" si="0"/>
        <v>96.9</v>
      </c>
      <c r="I39" s="14">
        <f t="shared" si="1"/>
        <v>6.9768000000000017</v>
      </c>
      <c r="J39" s="14">
        <f t="shared" si="2"/>
        <v>2.0349000000000004</v>
      </c>
      <c r="N39" s="14"/>
      <c r="O39" s="13">
        <v>3.1</v>
      </c>
      <c r="P39" s="13">
        <v>34</v>
      </c>
      <c r="Q39" s="14">
        <f t="shared" si="4"/>
        <v>6.9768000000000017</v>
      </c>
      <c r="R39" s="13">
        <v>3.1</v>
      </c>
      <c r="T39" s="13" t="s">
        <v>45</v>
      </c>
    </row>
    <row r="40" spans="1:20" s="13" customFormat="1">
      <c r="A40" s="13">
        <v>35</v>
      </c>
      <c r="B40" s="13" t="s">
        <v>25</v>
      </c>
      <c r="C40" s="13" t="s">
        <v>46</v>
      </c>
      <c r="D40" s="13">
        <v>3.2</v>
      </c>
      <c r="E40" s="13">
        <v>8</v>
      </c>
      <c r="F40" s="13">
        <v>4</v>
      </c>
      <c r="G40" s="13">
        <v>3.5</v>
      </c>
      <c r="H40" s="13">
        <f t="shared" si="0"/>
        <v>96</v>
      </c>
      <c r="I40" s="14">
        <f t="shared" si="1"/>
        <v>7.68</v>
      </c>
      <c r="J40" s="14">
        <f t="shared" si="2"/>
        <v>3.3600000000000003</v>
      </c>
      <c r="N40" s="14"/>
      <c r="O40" s="13">
        <v>4</v>
      </c>
      <c r="P40" s="13">
        <v>35</v>
      </c>
      <c r="Q40" s="14">
        <f t="shared" si="4"/>
        <v>7.68</v>
      </c>
      <c r="R40" s="13">
        <v>4</v>
      </c>
      <c r="T40" s="13" t="s">
        <v>34</v>
      </c>
    </row>
    <row r="41" spans="1:20" s="13" customFormat="1">
      <c r="A41" s="13">
        <v>36</v>
      </c>
      <c r="B41" s="13" t="s">
        <v>25</v>
      </c>
      <c r="C41" s="13" t="s">
        <v>47</v>
      </c>
      <c r="D41" s="13">
        <v>2.5</v>
      </c>
      <c r="E41" s="13">
        <v>4</v>
      </c>
      <c r="F41" s="13">
        <v>3</v>
      </c>
      <c r="G41" s="13">
        <v>10.9</v>
      </c>
      <c r="H41" s="13">
        <f t="shared" si="0"/>
        <v>97</v>
      </c>
      <c r="I41" s="14">
        <f t="shared" si="1"/>
        <v>3.88</v>
      </c>
      <c r="J41" s="14">
        <f t="shared" si="2"/>
        <v>10.573</v>
      </c>
      <c r="N41" s="14"/>
      <c r="O41" s="13">
        <v>3</v>
      </c>
      <c r="P41" s="13">
        <v>36</v>
      </c>
      <c r="Q41" s="14">
        <f t="shared" si="4"/>
        <v>3.88</v>
      </c>
      <c r="R41" s="13">
        <v>3</v>
      </c>
      <c r="T41" s="13" t="s">
        <v>9</v>
      </c>
    </row>
    <row r="42" spans="1:20" s="13" customFormat="1">
      <c r="A42" s="13">
        <v>37</v>
      </c>
      <c r="B42" s="13" t="s">
        <v>25</v>
      </c>
      <c r="C42" s="13" t="s">
        <v>48</v>
      </c>
      <c r="D42" s="13">
        <v>2.5</v>
      </c>
      <c r="E42" s="13">
        <v>2.5</v>
      </c>
      <c r="F42" s="13">
        <v>1.5</v>
      </c>
      <c r="G42" s="13">
        <v>9</v>
      </c>
      <c r="H42" s="13">
        <f t="shared" si="0"/>
        <v>98.5</v>
      </c>
      <c r="I42" s="14">
        <f t="shared" si="1"/>
        <v>2.4625000000000004</v>
      </c>
      <c r="J42" s="14">
        <f t="shared" si="2"/>
        <v>8.8650000000000002</v>
      </c>
      <c r="N42" s="14"/>
      <c r="O42" s="13">
        <v>1.5</v>
      </c>
      <c r="P42" s="13">
        <v>37</v>
      </c>
      <c r="Q42" s="14">
        <f t="shared" si="4"/>
        <v>2.4625000000000004</v>
      </c>
      <c r="R42" s="13">
        <v>1.5</v>
      </c>
      <c r="T42" s="13" t="s">
        <v>49</v>
      </c>
    </row>
    <row r="43" spans="1:20" s="13" customFormat="1">
      <c r="A43" s="13">
        <v>38</v>
      </c>
      <c r="B43" s="13" t="s">
        <v>25</v>
      </c>
      <c r="C43" s="13" t="s">
        <v>50</v>
      </c>
      <c r="D43" s="13">
        <v>2</v>
      </c>
      <c r="E43" s="13">
        <v>4</v>
      </c>
      <c r="F43" s="13">
        <v>3.05</v>
      </c>
      <c r="G43" s="13">
        <v>1.5</v>
      </c>
      <c r="H43" s="13">
        <f t="shared" si="0"/>
        <v>96.95</v>
      </c>
      <c r="I43" s="14">
        <f t="shared" si="1"/>
        <v>3.8780000000000001</v>
      </c>
      <c r="J43" s="14">
        <f t="shared" si="2"/>
        <v>1.45425</v>
      </c>
      <c r="N43" s="14"/>
      <c r="O43" s="13">
        <v>3.05</v>
      </c>
      <c r="P43" s="13">
        <v>38</v>
      </c>
      <c r="Q43" s="14">
        <f t="shared" si="4"/>
        <v>3.8780000000000001</v>
      </c>
      <c r="R43" s="13">
        <v>3.05</v>
      </c>
      <c r="T43" s="13" t="s">
        <v>34</v>
      </c>
    </row>
    <row r="44" spans="1:20" s="13" customFormat="1">
      <c r="A44" s="13">
        <v>39</v>
      </c>
      <c r="B44" s="13" t="s">
        <v>25</v>
      </c>
      <c r="C44" s="13" t="s">
        <v>51</v>
      </c>
      <c r="D44" s="13">
        <v>1.25</v>
      </c>
      <c r="E44" s="13">
        <v>20.100000000000001</v>
      </c>
      <c r="F44" s="13">
        <v>10.1</v>
      </c>
      <c r="G44" s="13">
        <v>6.2</v>
      </c>
      <c r="H44" s="13">
        <f t="shared" si="0"/>
        <v>89.9</v>
      </c>
      <c r="I44" s="14">
        <f t="shared" si="1"/>
        <v>18.069900000000001</v>
      </c>
      <c r="J44" s="14">
        <f t="shared" si="2"/>
        <v>5.5738000000000003</v>
      </c>
      <c r="M44" s="13">
        <v>39</v>
      </c>
      <c r="N44" s="14">
        <f t="shared" si="3"/>
        <v>18.069900000000001</v>
      </c>
      <c r="O44" s="13">
        <v>10.1</v>
      </c>
      <c r="Q44" s="14"/>
      <c r="T44" s="13" t="s">
        <v>52</v>
      </c>
    </row>
    <row r="45" spans="1:20" s="13" customFormat="1">
      <c r="A45" s="13">
        <v>40</v>
      </c>
      <c r="B45" s="13" t="s">
        <v>25</v>
      </c>
      <c r="C45" s="13" t="s">
        <v>53</v>
      </c>
      <c r="D45" s="13">
        <v>1.3</v>
      </c>
      <c r="E45" s="13">
        <v>18</v>
      </c>
      <c r="F45" s="13">
        <v>18</v>
      </c>
      <c r="G45" s="13">
        <v>7.5</v>
      </c>
      <c r="H45" s="13">
        <f t="shared" si="0"/>
        <v>82</v>
      </c>
      <c r="I45" s="14">
        <f t="shared" si="1"/>
        <v>14.76</v>
      </c>
      <c r="J45" s="14">
        <f t="shared" si="2"/>
        <v>6.1499999999999995</v>
      </c>
      <c r="M45" s="13">
        <v>40</v>
      </c>
      <c r="N45" s="14">
        <f t="shared" si="3"/>
        <v>14.76</v>
      </c>
      <c r="O45" s="13">
        <v>18</v>
      </c>
      <c r="Q45" s="14"/>
      <c r="T45" s="13" t="s">
        <v>54</v>
      </c>
    </row>
    <row r="46" spans="1:20" s="13" customFormat="1">
      <c r="A46" s="13">
        <v>41</v>
      </c>
      <c r="B46" s="13" t="s">
        <v>25</v>
      </c>
      <c r="C46" s="13" t="s">
        <v>55</v>
      </c>
      <c r="D46" s="13">
        <v>3.2</v>
      </c>
      <c r="E46" s="13">
        <v>6.5</v>
      </c>
      <c r="F46" s="13">
        <v>2.2999999999999998</v>
      </c>
      <c r="G46" s="13">
        <v>6.1</v>
      </c>
      <c r="H46" s="13">
        <f t="shared" si="0"/>
        <v>97.7</v>
      </c>
      <c r="I46" s="14">
        <f t="shared" si="1"/>
        <v>6.3505000000000003</v>
      </c>
      <c r="J46" s="14">
        <f t="shared" si="2"/>
        <v>5.9596999999999998</v>
      </c>
      <c r="N46" s="14">
        <f t="shared" si="3"/>
        <v>6.3505000000000003</v>
      </c>
      <c r="O46" s="13">
        <v>2.2999999999999998</v>
      </c>
      <c r="Q46" s="14"/>
      <c r="T46" s="13" t="s">
        <v>56</v>
      </c>
    </row>
    <row r="47" spans="1:20">
      <c r="A47" t="s">
        <v>57</v>
      </c>
      <c r="D47" s="3">
        <f>SUM(D6:D46)/35</f>
        <v>2.3408571428571432</v>
      </c>
      <c r="E47" s="6">
        <f>SUM(E6:E46)/41</f>
        <v>9.7068292682926831</v>
      </c>
      <c r="F47" s="7">
        <f t="shared" ref="F47:I47" si="5">SUM(F6:F46)/41</f>
        <v>5.9190243902439015</v>
      </c>
      <c r="G47" s="8">
        <f>SUM(G6:G46)/38</f>
        <v>5.1592105263157899</v>
      </c>
      <c r="H47" s="8">
        <f>SUM(H6:H46)/41</f>
        <v>94.080975609756095</v>
      </c>
      <c r="I47" s="6">
        <f t="shared" si="5"/>
        <v>8.7796858048780475</v>
      </c>
      <c r="J47" s="6">
        <f>SUM(J6:J46)/38</f>
        <v>4.8579628947368425</v>
      </c>
      <c r="M47" t="s">
        <v>70</v>
      </c>
      <c r="N47" t="s">
        <v>129</v>
      </c>
      <c r="O47" t="s">
        <v>69</v>
      </c>
      <c r="Q47" t="s">
        <v>129</v>
      </c>
      <c r="R47" t="s">
        <v>69</v>
      </c>
    </row>
    <row r="48" spans="1:20">
      <c r="D48" t="s">
        <v>61</v>
      </c>
      <c r="E48" t="s">
        <v>132</v>
      </c>
      <c r="F48" t="s">
        <v>60</v>
      </c>
      <c r="G48" t="s">
        <v>13</v>
      </c>
      <c r="H48" t="s">
        <v>101</v>
      </c>
      <c r="I48" t="s">
        <v>127</v>
      </c>
      <c r="J48" t="s">
        <v>100</v>
      </c>
      <c r="K48" t="s">
        <v>101</v>
      </c>
      <c r="L48" s="9" t="s">
        <v>102</v>
      </c>
      <c r="M48" s="9" t="s">
        <v>68</v>
      </c>
      <c r="N48" s="10">
        <f>SUM(N6:N46)/19</f>
        <v>13.370253578947368</v>
      </c>
      <c r="O48" s="10">
        <f>SUM(O6:O46)/19</f>
        <v>12.772631578947367</v>
      </c>
      <c r="P48" s="9"/>
      <c r="Q48" s="10">
        <f>SUM(Q6:Q46)/18</f>
        <v>5.1948277777777783</v>
      </c>
      <c r="R48" s="10">
        <f>SUM(R6:R46)/18</f>
        <v>3.7527777777777778</v>
      </c>
    </row>
    <row r="49" spans="1:19">
      <c r="A49" t="s">
        <v>63</v>
      </c>
      <c r="D49" s="3">
        <f>SUM(D6:D18)/8</f>
        <v>2.25</v>
      </c>
      <c r="E49" s="6">
        <f>SUM(E6:E18)/13</f>
        <v>8.6492307692307691</v>
      </c>
      <c r="F49" s="7">
        <f>SUM(F6:F18)/13</f>
        <v>3.6330769230769233</v>
      </c>
      <c r="G49" s="3">
        <f>SUM(G6:G18)/13</f>
        <v>4.2846153846153845</v>
      </c>
      <c r="H49" s="3">
        <f>SUM((G49)/100)*12</f>
        <v>0.51415384615384618</v>
      </c>
      <c r="I49" s="6">
        <f>SUM(I6:I18)/13</f>
        <v>8.2461821538461546</v>
      </c>
      <c r="J49" s="6">
        <f>SUM(J6:J18)/13</f>
        <v>4.1255530769230768</v>
      </c>
      <c r="K49" s="3">
        <f>SUM((J49)/100)*12</f>
        <v>0.49506636923076919</v>
      </c>
      <c r="L49" s="4">
        <f>SUM(I49+K49)</f>
        <v>8.7412485230769246</v>
      </c>
    </row>
    <row r="50" spans="1:19">
      <c r="A50" t="s">
        <v>122</v>
      </c>
      <c r="D50" s="3">
        <f>SUM(D19:D46)/27</f>
        <v>2.367777777777778</v>
      </c>
      <c r="E50" s="6">
        <f>SUM(E19:E46)/28</f>
        <v>10.197857142857142</v>
      </c>
      <c r="F50" s="7">
        <f>SUM(F19:F46)/28</f>
        <v>6.9803571428571427</v>
      </c>
      <c r="G50" s="3">
        <f>SUM(G19:G46)/25</f>
        <v>5.6139999999999999</v>
      </c>
      <c r="H50" s="3">
        <f>SUM((G50)/100)*12</f>
        <v>0.67367999999999995</v>
      </c>
      <c r="I50" s="6">
        <f>SUM(I19:I46)/28</f>
        <v>9.0273839285714281</v>
      </c>
      <c r="J50" s="6">
        <f>SUM(J19:J46)/25</f>
        <v>5.2388160000000008</v>
      </c>
      <c r="K50" s="3">
        <f>SUM((J50)/100)*12</f>
        <v>0.62865792000000009</v>
      </c>
      <c r="L50" s="4">
        <f>SUM(I50+K50)</f>
        <v>9.6560418485714283</v>
      </c>
    </row>
    <row r="51" spans="1:19">
      <c r="C51" s="27" t="s">
        <v>106</v>
      </c>
      <c r="D51" s="28">
        <f>SUM(D49:D50)/2</f>
        <v>2.3088888888888892</v>
      </c>
      <c r="E51" s="28">
        <f t="shared" ref="E51:L51" si="6">SUM(E49:E50)/2</f>
        <v>9.4235439560439556</v>
      </c>
      <c r="F51" s="28">
        <f t="shared" si="6"/>
        <v>5.3067170329670326</v>
      </c>
      <c r="G51" s="28">
        <f t="shared" si="6"/>
        <v>4.9493076923076922</v>
      </c>
      <c r="H51" s="28">
        <f t="shared" si="6"/>
        <v>0.59391692307692301</v>
      </c>
      <c r="I51" s="28">
        <f t="shared" si="6"/>
        <v>8.6367830412087905</v>
      </c>
      <c r="J51" s="28">
        <f t="shared" si="6"/>
        <v>4.6821845384615388</v>
      </c>
      <c r="K51" s="31">
        <f t="shared" si="6"/>
        <v>0.56186214461538464</v>
      </c>
      <c r="L51" s="28">
        <f t="shared" si="6"/>
        <v>9.1986451858241765</v>
      </c>
      <c r="M51" t="s">
        <v>71</v>
      </c>
      <c r="N51" s="4">
        <f>SUM((N48-Q48)/(Q48))*100</f>
        <v>157.37626252292893</v>
      </c>
      <c r="O51" s="4">
        <f>SUM((O48-R48)/(R48))*100</f>
        <v>240.35139662628069</v>
      </c>
    </row>
    <row r="52" spans="1:19">
      <c r="K52" s="5" t="s">
        <v>103</v>
      </c>
      <c r="M52" s="11" t="s">
        <v>72</v>
      </c>
      <c r="N52" s="6">
        <f>SUM(N48/Q48)</f>
        <v>2.5737626252292891</v>
      </c>
      <c r="O52" s="6">
        <f>SUM(O48/R48)</f>
        <v>3.4035139662628069</v>
      </c>
      <c r="Q52" s="32" t="s">
        <v>138</v>
      </c>
    </row>
    <row r="53" spans="1:19">
      <c r="C53" t="s">
        <v>123</v>
      </c>
      <c r="E53" s="5" t="s">
        <v>130</v>
      </c>
      <c r="K53" s="26">
        <f>SUM(100-((L49-K49)/(L49))*100)</f>
        <v>5.6635658844819829</v>
      </c>
      <c r="L53" s="24" t="s">
        <v>78</v>
      </c>
    </row>
    <row r="54" spans="1:19">
      <c r="C54" t="s">
        <v>124</v>
      </c>
      <c r="E54" s="5" t="s">
        <v>131</v>
      </c>
      <c r="K54" s="26">
        <f t="shared" ref="K54:K55" si="7">SUM(100-((L50-K50)/(L50))*100)</f>
        <v>6.5105136230639573</v>
      </c>
      <c r="L54" s="24" t="s">
        <v>78</v>
      </c>
      <c r="M54" t="s">
        <v>126</v>
      </c>
    </row>
    <row r="55" spans="1:19">
      <c r="C55" t="s">
        <v>125</v>
      </c>
      <c r="E55" s="24" t="s">
        <v>104</v>
      </c>
      <c r="F55" s="24"/>
      <c r="G55" s="25">
        <f>SUM(6.1+7.8)/2</f>
        <v>6.9499999999999993</v>
      </c>
      <c r="H55" s="24" t="s">
        <v>105</v>
      </c>
      <c r="J55" s="24" t="s">
        <v>68</v>
      </c>
      <c r="K55" s="26">
        <f t="shared" si="7"/>
        <v>6.1080967171258749</v>
      </c>
      <c r="L55" s="24" t="s">
        <v>78</v>
      </c>
      <c r="M55" t="s">
        <v>73</v>
      </c>
    </row>
    <row r="56" spans="1:19">
      <c r="D56" s="22" t="s">
        <v>81</v>
      </c>
      <c r="E56" s="22"/>
      <c r="F56" s="22" t="s">
        <v>82</v>
      </c>
      <c r="G56" s="22"/>
      <c r="H56" s="22"/>
      <c r="I56" s="22"/>
      <c r="J56" s="22"/>
      <c r="L56" s="12" t="s">
        <v>74</v>
      </c>
      <c r="M56" s="12"/>
      <c r="N56" s="12" t="s">
        <v>82</v>
      </c>
      <c r="O56" s="12"/>
      <c r="P56" s="12"/>
      <c r="Q56" s="12"/>
      <c r="R56" s="12"/>
    </row>
    <row r="57" spans="1:19">
      <c r="D57" s="15" t="s">
        <v>83</v>
      </c>
      <c r="E57" s="15"/>
      <c r="F57" s="15"/>
      <c r="G57" s="15"/>
      <c r="H57" s="15"/>
      <c r="I57" s="15"/>
      <c r="J57" s="15"/>
      <c r="K57" s="15"/>
      <c r="L57" s="15" t="s">
        <v>75</v>
      </c>
      <c r="M57" s="15" t="s">
        <v>94</v>
      </c>
      <c r="N57" s="15"/>
      <c r="O57" s="15"/>
      <c r="P57" s="15" t="s">
        <v>95</v>
      </c>
      <c r="Q57" s="15"/>
      <c r="R57" s="15"/>
      <c r="S57" s="15"/>
    </row>
    <row r="58" spans="1:19">
      <c r="D58" s="15"/>
      <c r="E58" s="16" t="s">
        <v>68</v>
      </c>
      <c r="F58" s="17">
        <f>SUM(N6:N18)/8</f>
        <v>10.7547335</v>
      </c>
      <c r="G58" s="17">
        <f>SUM(O6:O18)/8</f>
        <v>5.9037500000000005</v>
      </c>
      <c r="H58" s="16"/>
      <c r="I58" s="17">
        <f>SUM(Q6:Q18)/5</f>
        <v>4.2324999999999999</v>
      </c>
      <c r="J58" s="17">
        <f>SUM(R6:R18)/5</f>
        <v>1.6</v>
      </c>
      <c r="K58" s="15"/>
      <c r="L58" s="15"/>
      <c r="M58" s="16" t="s">
        <v>68</v>
      </c>
      <c r="N58" s="17">
        <f>SUM(N19:N46)/12</f>
        <v>13.999745833333334</v>
      </c>
      <c r="O58" s="17">
        <f>SUM(O19:O46)/12</f>
        <v>16.287499999999998</v>
      </c>
      <c r="P58" s="16"/>
      <c r="Q58" s="17">
        <f>SUM(Q19:Q46)/13</f>
        <v>5.5649538461538475</v>
      </c>
      <c r="R58" s="17">
        <f>SUM(R19:R46)/13</f>
        <v>4.5807692307692305</v>
      </c>
      <c r="S58" s="15"/>
    </row>
    <row r="59" spans="1:19">
      <c r="D59" s="15"/>
      <c r="E59" s="15" t="s">
        <v>96</v>
      </c>
      <c r="F59" s="15" t="s">
        <v>129</v>
      </c>
      <c r="G59" s="15" t="s">
        <v>69</v>
      </c>
      <c r="H59" s="15" t="s">
        <v>97</v>
      </c>
      <c r="I59" s="15" t="s">
        <v>129</v>
      </c>
      <c r="J59" s="15" t="s">
        <v>69</v>
      </c>
      <c r="K59" s="15"/>
      <c r="L59" s="15"/>
      <c r="M59" s="15"/>
      <c r="N59" s="15" t="s">
        <v>129</v>
      </c>
      <c r="O59" s="15" t="s">
        <v>69</v>
      </c>
      <c r="P59" s="15"/>
      <c r="Q59" s="15" t="s">
        <v>129</v>
      </c>
      <c r="R59" s="15" t="s">
        <v>69</v>
      </c>
      <c r="S59" s="15"/>
    </row>
    <row r="60" spans="1:19">
      <c r="D60" s="15"/>
      <c r="E60" s="15"/>
      <c r="F60" s="15"/>
      <c r="G60" s="15"/>
      <c r="H60" s="15"/>
      <c r="I60" s="15"/>
      <c r="J60" s="15"/>
      <c r="K60" s="15"/>
      <c r="L60" s="15"/>
      <c r="R60" s="15"/>
      <c r="S60" s="15"/>
    </row>
    <row r="61" spans="1:19">
      <c r="D61" s="15"/>
      <c r="E61" s="15" t="s">
        <v>71</v>
      </c>
      <c r="F61" s="18">
        <f>SUM((F58-I58)/(I58))*100</f>
        <v>154.09884229178974</v>
      </c>
      <c r="G61" s="18">
        <f>SUM((G58-J58)/(J58))*100</f>
        <v>268.98437500000006</v>
      </c>
      <c r="H61" s="15"/>
      <c r="I61" s="15"/>
      <c r="J61" s="15"/>
      <c r="K61" s="15"/>
      <c r="L61" s="15"/>
      <c r="M61" s="15" t="s">
        <v>71</v>
      </c>
      <c r="N61" s="18">
        <f>SUM((N58-Q58)/(Q58))*100</f>
        <v>151.56984622629162</v>
      </c>
      <c r="O61" s="18">
        <f>SUM((O58-R58)/(R58))*100</f>
        <v>255.5625524769101</v>
      </c>
      <c r="P61" s="15"/>
      <c r="Q61" s="15"/>
      <c r="R61" s="15"/>
      <c r="S61" s="15"/>
    </row>
    <row r="62" spans="1:19">
      <c r="D62" s="15"/>
      <c r="E62" s="19" t="s">
        <v>72</v>
      </c>
      <c r="F62" s="20">
        <f>SUM(F58/I58)</f>
        <v>2.5409884229178972</v>
      </c>
      <c r="G62" s="20">
        <f>SUM(G58/J58)</f>
        <v>3.6898437500000001</v>
      </c>
      <c r="H62" s="15"/>
      <c r="I62" s="15"/>
      <c r="J62" s="15"/>
      <c r="K62" s="15"/>
      <c r="L62" s="15"/>
      <c r="M62" s="19" t="s">
        <v>72</v>
      </c>
      <c r="N62" s="20">
        <f>SUM(N58/Q58)</f>
        <v>2.5156984622629159</v>
      </c>
      <c r="O62" s="20">
        <f>SUM(O58/R58)</f>
        <v>3.5556255247691015</v>
      </c>
      <c r="P62" s="15"/>
      <c r="Q62" s="15"/>
      <c r="R62" s="15"/>
      <c r="S62" s="15"/>
    </row>
    <row r="63" spans="1:19">
      <c r="D63" s="15"/>
      <c r="E63" s="19" t="s">
        <v>133</v>
      </c>
      <c r="F63" s="19"/>
      <c r="G63" s="19"/>
      <c r="H63" s="19"/>
      <c r="I63" s="21">
        <f>SUM(I6:I18)/13</f>
        <v>8.2461821538461546</v>
      </c>
      <c r="J63" s="19" t="s">
        <v>78</v>
      </c>
      <c r="K63" s="15"/>
      <c r="L63" s="15"/>
      <c r="M63" s="19" t="s">
        <v>134</v>
      </c>
      <c r="N63" s="19"/>
      <c r="O63" s="19"/>
      <c r="P63" s="19"/>
      <c r="Q63" s="21">
        <f>SUM(I19:I46)/28</f>
        <v>9.0273839285714281</v>
      </c>
      <c r="R63" s="19" t="s">
        <v>78</v>
      </c>
      <c r="S63" s="15"/>
    </row>
    <row r="64" spans="1:19">
      <c r="E64" s="19" t="s">
        <v>84</v>
      </c>
      <c r="F64" s="19"/>
      <c r="G64" s="19"/>
      <c r="H64" s="19"/>
      <c r="I64" s="21">
        <v>4.0999999999999996</v>
      </c>
      <c r="J64" s="19" t="s">
        <v>78</v>
      </c>
      <c r="M64" s="19" t="s">
        <v>77</v>
      </c>
      <c r="N64" s="19"/>
      <c r="O64" s="19"/>
      <c r="P64" s="19"/>
      <c r="Q64" s="21">
        <v>4.5</v>
      </c>
      <c r="R64" s="19" t="s">
        <v>78</v>
      </c>
    </row>
    <row r="65" spans="3:18">
      <c r="C65" t="s">
        <v>85</v>
      </c>
      <c r="M65" t="s">
        <v>76</v>
      </c>
    </row>
    <row r="66" spans="3:18">
      <c r="M66" t="s">
        <v>79</v>
      </c>
    </row>
    <row r="67" spans="3:18">
      <c r="C67" t="s">
        <v>86</v>
      </c>
      <c r="M67" t="s">
        <v>135</v>
      </c>
    </row>
    <row r="68" spans="3:18">
      <c r="C68" s="2" t="s">
        <v>87</v>
      </c>
      <c r="M68" s="32" t="s">
        <v>136</v>
      </c>
    </row>
    <row r="69" spans="3:18">
      <c r="C69" t="s">
        <v>88</v>
      </c>
      <c r="M69" t="s">
        <v>80</v>
      </c>
    </row>
    <row r="70" spans="3:18">
      <c r="C70" t="s">
        <v>89</v>
      </c>
    </row>
    <row r="71" spans="3:18">
      <c r="C71" t="s">
        <v>90</v>
      </c>
      <c r="M71" t="s">
        <v>139</v>
      </c>
    </row>
    <row r="72" spans="3:18">
      <c r="C72" t="s">
        <v>91</v>
      </c>
      <c r="M72" t="s">
        <v>108</v>
      </c>
      <c r="N72" t="s">
        <v>111</v>
      </c>
      <c r="O72" t="s">
        <v>117</v>
      </c>
      <c r="P72" t="s">
        <v>112</v>
      </c>
    </row>
    <row r="73" spans="3:18">
      <c r="C73" t="s">
        <v>92</v>
      </c>
      <c r="M73" t="s">
        <v>107</v>
      </c>
      <c r="N73">
        <v>460</v>
      </c>
      <c r="O73" s="30">
        <v>46446</v>
      </c>
      <c r="P73" s="3">
        <f>SUM(O73/N73)</f>
        <v>100.96956521739131</v>
      </c>
    </row>
    <row r="74" spans="3:18">
      <c r="C74" t="s">
        <v>93</v>
      </c>
      <c r="M74" t="s">
        <v>109</v>
      </c>
      <c r="N74">
        <v>753</v>
      </c>
      <c r="O74" s="30">
        <v>82446</v>
      </c>
      <c r="P74" s="3">
        <f t="shared" ref="P74:P75" si="8">SUM(O74/N74)</f>
        <v>109.49003984063745</v>
      </c>
    </row>
    <row r="75" spans="3:18">
      <c r="M75" t="s">
        <v>110</v>
      </c>
      <c r="N75">
        <v>305</v>
      </c>
      <c r="O75" s="30">
        <v>58212</v>
      </c>
      <c r="P75" s="3">
        <f t="shared" si="8"/>
        <v>190.85901639344263</v>
      </c>
    </row>
    <row r="76" spans="3:18">
      <c r="O76" s="9" t="s">
        <v>113</v>
      </c>
      <c r="P76" s="29">
        <f>SUM(P73:P75)/3</f>
        <v>133.77287381715712</v>
      </c>
      <c r="Q76" t="s">
        <v>112</v>
      </c>
    </row>
    <row r="78" spans="3:18">
      <c r="M78" t="s">
        <v>118</v>
      </c>
    </row>
    <row r="79" spans="3:18">
      <c r="M79" t="s">
        <v>116</v>
      </c>
      <c r="N79">
        <v>1845</v>
      </c>
      <c r="O79">
        <v>1972</v>
      </c>
      <c r="P79">
        <v>2009</v>
      </c>
      <c r="Q79" t="s">
        <v>119</v>
      </c>
      <c r="R79" t="s">
        <v>120</v>
      </c>
    </row>
    <row r="80" spans="3:18">
      <c r="M80" t="s">
        <v>114</v>
      </c>
      <c r="N80">
        <v>4.0999999999999996</v>
      </c>
      <c r="P80">
        <v>2.9</v>
      </c>
      <c r="Q80" s="4">
        <f>SUM((N80-P80)/N80)*100</f>
        <v>29.268292682926827</v>
      </c>
    </row>
    <row r="81" spans="13:18">
      <c r="M81" t="s">
        <v>115</v>
      </c>
      <c r="N81">
        <v>5</v>
      </c>
      <c r="O81">
        <v>5</v>
      </c>
      <c r="P81">
        <v>2.5</v>
      </c>
      <c r="Q81" s="4">
        <f>SUM((N81-P81)/N81)*100</f>
        <v>50</v>
      </c>
      <c r="R81" s="4">
        <f>SUM((O81-P81)/O81)*100</f>
        <v>50</v>
      </c>
    </row>
    <row r="82" spans="13:18">
      <c r="M82" t="s">
        <v>121</v>
      </c>
      <c r="O82">
        <f>SUM(O79-N79)</f>
        <v>127</v>
      </c>
      <c r="P82">
        <f>SUM(P79-N79)</f>
        <v>164</v>
      </c>
    </row>
    <row r="83" spans="13:18">
      <c r="P83" t="s">
        <v>68</v>
      </c>
      <c r="Q83" s="33">
        <f>SUM(Q80:Q81)/2</f>
        <v>39.634146341463413</v>
      </c>
      <c r="R83" t="s">
        <v>119</v>
      </c>
    </row>
  </sheetData>
  <hyperlinks>
    <hyperlink ref="A2" r:id="rId1"/>
    <hyperlink ref="C68" r:id="rId2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</dc:creator>
  <cp:lastModifiedBy>Rob</cp:lastModifiedBy>
  <dcterms:created xsi:type="dcterms:W3CDTF">2019-11-14T02:45:22Z</dcterms:created>
  <dcterms:modified xsi:type="dcterms:W3CDTF">2022-12-13T04:00:07Z</dcterms:modified>
</cp:coreProperties>
</file>