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theme/themeOverride1.xml" ContentType="application/vnd.openxmlformats-officedocument.themeOverrid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 codeName="{7A2D7E96-6E34-419A-AE5F-296B3A7E7977}"/>
  <workbookPr codeName="EstaPasta_de_trabalho"/>
  <mc:AlternateContent xmlns:mc="http://schemas.openxmlformats.org/markup-compatibility/2006">
    <mc:Choice Requires="x15">
      <x15ac:absPath xmlns:x15ac="http://schemas.microsoft.com/office/spreadsheetml/2010/11/ac" url="C:\Feni\Paper Water 5 SenSu Fabio\Sustainability\"/>
    </mc:Choice>
  </mc:AlternateContent>
  <bookViews>
    <workbookView xWindow="0" yWindow="0" windowWidth="20490" windowHeight="7755" tabRatio="445" firstSheet="1" activeTab="2"/>
  </bookViews>
  <sheets>
    <sheet name="Plan1" sheetId="1" state="hidden" r:id="rId1"/>
    <sheet name="Calculation" sheetId="3" r:id="rId2"/>
    <sheet name="Visualization" sheetId="4" r:id="rId3"/>
    <sheet name="Plan5" sheetId="6" state="hidden" r:id="rId4"/>
  </sheets>
  <functionGroups builtInGroupCount="18"/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T3" i="4" l="1"/>
  <c r="AT4" i="4"/>
  <c r="AT5" i="4"/>
  <c r="AT6" i="4"/>
  <c r="AT7" i="4"/>
  <c r="AT8" i="4"/>
  <c r="AT9" i="4"/>
  <c r="AT10" i="4"/>
  <c r="AT11" i="4"/>
  <c r="AT12" i="4"/>
  <c r="AT13" i="4"/>
  <c r="AT14" i="4"/>
  <c r="AT15" i="4"/>
  <c r="AT16" i="4"/>
  <c r="AT17" i="4"/>
  <c r="AT18" i="4"/>
  <c r="AT19" i="4"/>
  <c r="AT20" i="4"/>
  <c r="AT21" i="4"/>
  <c r="AT22" i="4"/>
  <c r="AT23" i="4" l="1"/>
  <c r="AT25" i="4"/>
  <c r="AT24" i="4"/>
  <c r="C24" i="3"/>
  <c r="AU22" i="4" l="1"/>
  <c r="AU18" i="4"/>
  <c r="AU14" i="4"/>
  <c r="AU10" i="4"/>
  <c r="AU6" i="4"/>
  <c r="AU21" i="4"/>
  <c r="AU17" i="4"/>
  <c r="AU13" i="4"/>
  <c r="AU9" i="4"/>
  <c r="AU5" i="4"/>
  <c r="AU16" i="4"/>
  <c r="AU12" i="4"/>
  <c r="AU8" i="4"/>
  <c r="AU4" i="4"/>
  <c r="AU19" i="4"/>
  <c r="AU15" i="4"/>
  <c r="AU11" i="4"/>
  <c r="AU7" i="4"/>
  <c r="AU3" i="4"/>
  <c r="AU20" i="4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G9" i="3"/>
  <c r="G8" i="3"/>
  <c r="G7" i="3"/>
  <c r="G6" i="3"/>
  <c r="G5" i="3"/>
  <c r="G4" i="3"/>
  <c r="G3" i="3"/>
  <c r="AQ25" i="3" l="1"/>
  <c r="AQ24" i="3"/>
  <c r="AQ23" i="3"/>
  <c r="AM25" i="3"/>
  <c r="AM24" i="3"/>
  <c r="AM23" i="3"/>
  <c r="AH25" i="3"/>
  <c r="AH24" i="3"/>
  <c r="AH23" i="3"/>
  <c r="AD25" i="3"/>
  <c r="AD24" i="3"/>
  <c r="AD23" i="3"/>
  <c r="Y25" i="3"/>
  <c r="Y24" i="3"/>
  <c r="Y23" i="3"/>
  <c r="U25" i="3"/>
  <c r="U24" i="3"/>
  <c r="U23" i="3"/>
  <c r="P24" i="3"/>
  <c r="P23" i="3"/>
  <c r="P25" i="3" s="1"/>
  <c r="L24" i="3"/>
  <c r="L23" i="3"/>
  <c r="L25" i="3" s="1"/>
  <c r="G24" i="3"/>
  <c r="G23" i="3"/>
  <c r="G25" i="3" s="1"/>
  <c r="C23" i="3"/>
  <c r="C25" i="3" s="1"/>
  <c r="AN1" i="4" l="1"/>
  <c r="AI1" i="4"/>
  <c r="AD1" i="4"/>
  <c r="Y1" i="4"/>
  <c r="T1" i="4"/>
  <c r="AR24" i="4" l="1"/>
  <c r="AR23" i="4"/>
  <c r="AM24" i="4"/>
  <c r="AM23" i="4"/>
  <c r="AH24" i="4"/>
  <c r="AH23" i="4"/>
  <c r="AC24" i="4"/>
  <c r="AC23" i="4"/>
  <c r="X24" i="4"/>
  <c r="X23" i="4"/>
  <c r="BB22" i="4" l="1"/>
  <c r="BB21" i="4"/>
  <c r="BB20" i="4"/>
  <c r="BB19" i="4"/>
  <c r="BA22" i="4"/>
  <c r="BA21" i="4"/>
  <c r="BA20" i="4"/>
  <c r="BA19" i="4"/>
  <c r="AZ22" i="4"/>
  <c r="AZ21" i="4"/>
  <c r="AZ20" i="4"/>
  <c r="AZ19" i="4"/>
  <c r="AY22" i="4"/>
  <c r="AY21" i="4"/>
  <c r="AY20" i="4"/>
  <c r="AY19" i="4"/>
  <c r="AX22" i="4"/>
  <c r="AX21" i="4"/>
  <c r="AX20" i="4"/>
  <c r="AX19" i="4"/>
  <c r="BB18" i="4"/>
  <c r="BA18" i="4"/>
  <c r="AZ18" i="4"/>
  <c r="AY18" i="4"/>
  <c r="AX18" i="4"/>
  <c r="BB17" i="4"/>
  <c r="BA17" i="4"/>
  <c r="AZ17" i="4"/>
  <c r="AY17" i="4"/>
  <c r="AX17" i="4"/>
  <c r="BB16" i="4"/>
  <c r="BA16" i="4"/>
  <c r="AZ16" i="4"/>
  <c r="AY16" i="4"/>
  <c r="AX16" i="4"/>
  <c r="BB15" i="4"/>
  <c r="BA15" i="4"/>
  <c r="AZ15" i="4"/>
  <c r="AY15" i="4"/>
  <c r="AX15" i="4"/>
  <c r="BB14" i="4"/>
  <c r="BA14" i="4"/>
  <c r="AZ14" i="4"/>
  <c r="AY14" i="4"/>
  <c r="AX14" i="4"/>
  <c r="BB13" i="4"/>
  <c r="BA13" i="4"/>
  <c r="AZ13" i="4"/>
  <c r="AY13" i="4"/>
  <c r="AX13" i="4"/>
  <c r="BB12" i="4"/>
  <c r="BA12" i="4"/>
  <c r="AZ12" i="4"/>
  <c r="AY12" i="4"/>
  <c r="AX12" i="4"/>
  <c r="BB11" i="4"/>
  <c r="BA11" i="4"/>
  <c r="AZ11" i="4"/>
  <c r="AY11" i="4"/>
  <c r="AX11" i="4"/>
  <c r="BB10" i="4"/>
  <c r="BA10" i="4"/>
  <c r="AZ10" i="4"/>
  <c r="AY10" i="4"/>
  <c r="AX10" i="4"/>
  <c r="BB9" i="4"/>
  <c r="BA9" i="4"/>
  <c r="AZ9" i="4"/>
  <c r="AY9" i="4"/>
  <c r="AX9" i="4"/>
  <c r="BB8" i="4"/>
  <c r="BA8" i="4"/>
  <c r="AZ8" i="4"/>
  <c r="AY8" i="4"/>
  <c r="AX8" i="4"/>
  <c r="BB7" i="4"/>
  <c r="BA7" i="4"/>
  <c r="AZ7" i="4"/>
  <c r="AY7" i="4"/>
  <c r="AX7" i="4"/>
  <c r="BB6" i="4"/>
  <c r="BA6" i="4"/>
  <c r="AZ6" i="4"/>
  <c r="AY6" i="4"/>
  <c r="AX6" i="4"/>
  <c r="BB5" i="4"/>
  <c r="BA5" i="4"/>
  <c r="AZ5" i="4"/>
  <c r="AY5" i="4"/>
  <c r="AX5" i="4"/>
  <c r="BB4" i="4"/>
  <c r="BA4" i="4"/>
  <c r="AZ4" i="4"/>
  <c r="AY4" i="4"/>
  <c r="AX4" i="4"/>
  <c r="BB3" i="4"/>
  <c r="BA3" i="4"/>
  <c r="AZ3" i="4"/>
  <c r="AY3" i="4"/>
  <c r="AX3" i="4"/>
  <c r="BG21" i="4"/>
  <c r="BD3" i="4"/>
  <c r="BG22" i="4"/>
  <c r="BH20" i="4"/>
  <c r="BH21" i="4"/>
  <c r="BE22" i="4"/>
  <c r="BD21" i="4"/>
  <c r="BF19" i="4"/>
  <c r="BD19" i="4"/>
  <c r="BE20" i="4"/>
  <c r="BF20" i="4"/>
  <c r="BD20" i="4"/>
  <c r="BE21" i="4"/>
  <c r="BH22" i="4"/>
  <c r="BE19" i="4"/>
  <c r="BD22" i="4"/>
  <c r="BF21" i="4"/>
  <c r="BF22" i="4"/>
  <c r="BG20" i="4"/>
  <c r="BG19" i="4"/>
  <c r="BH19" i="4"/>
  <c r="AW17" i="4" l="1"/>
  <c r="AV17" i="4"/>
  <c r="BH17" i="4"/>
  <c r="BC17" i="4"/>
  <c r="BG17" i="4"/>
  <c r="BF17" i="4"/>
  <c r="BE17" i="4"/>
  <c r="BD17" i="4"/>
  <c r="AW22" i="4" l="1"/>
  <c r="AW21" i="4"/>
  <c r="AW20" i="4"/>
  <c r="AW19" i="4"/>
  <c r="AV22" i="4"/>
  <c r="AV21" i="4"/>
  <c r="AV20" i="4"/>
  <c r="AV19" i="4"/>
  <c r="BC21" i="4"/>
  <c r="BC19" i="4"/>
  <c r="BC20" i="4"/>
  <c r="BC22" i="4"/>
  <c r="AV3" i="4" l="1"/>
  <c r="AW13" i="4" l="1"/>
  <c r="AW14" i="4"/>
  <c r="AW15" i="4"/>
  <c r="AW16" i="4"/>
  <c r="AW18" i="4"/>
  <c r="AV18" i="4"/>
  <c r="AV16" i="4"/>
  <c r="AV15" i="4"/>
  <c r="AV14" i="4"/>
  <c r="AV13" i="4"/>
  <c r="BH12" i="4"/>
  <c r="BG18" i="4"/>
  <c r="BE6" i="4"/>
  <c r="BF14" i="4"/>
  <c r="BH9" i="4"/>
  <c r="BG14" i="4"/>
  <c r="BF7" i="4"/>
  <c r="BE16" i="4"/>
  <c r="BG12" i="4"/>
  <c r="BG8" i="4"/>
  <c r="BC18" i="4"/>
  <c r="BG10" i="4"/>
  <c r="BG13" i="4"/>
  <c r="BD5" i="4"/>
  <c r="BF4" i="4"/>
  <c r="BH3" i="4"/>
  <c r="BE8" i="4"/>
  <c r="BH5" i="4"/>
  <c r="BH15" i="4"/>
  <c r="BE18" i="4"/>
  <c r="BF16" i="4"/>
  <c r="BH18" i="4"/>
  <c r="BE10" i="4"/>
  <c r="BF11" i="4"/>
  <c r="BE7" i="4"/>
  <c r="BH4" i="4"/>
  <c r="BH8" i="4"/>
  <c r="BF15" i="4"/>
  <c r="BG7" i="4"/>
  <c r="BD18" i="4"/>
  <c r="BD6" i="4"/>
  <c r="BG6" i="4"/>
  <c r="BE15" i="4"/>
  <c r="BH11" i="4"/>
  <c r="BE12" i="4"/>
  <c r="BD13" i="4"/>
  <c r="BF5" i="4"/>
  <c r="BC14" i="4"/>
  <c r="BH7" i="4"/>
  <c r="BE4" i="4"/>
  <c r="BE11" i="4"/>
  <c r="BE3" i="4"/>
  <c r="BG16" i="4"/>
  <c r="BD4" i="4"/>
  <c r="BD9" i="4"/>
  <c r="BD10" i="4"/>
  <c r="BF10" i="4"/>
  <c r="BD15" i="4"/>
  <c r="BC15" i="4"/>
  <c r="BH6" i="4"/>
  <c r="BF9" i="4"/>
  <c r="BE5" i="4"/>
  <c r="BF18" i="4"/>
  <c r="BD16" i="4"/>
  <c r="BD12" i="4"/>
  <c r="BG5" i="4"/>
  <c r="BC16" i="4"/>
  <c r="BF3" i="4"/>
  <c r="BF8" i="4"/>
  <c r="BF12" i="4"/>
  <c r="BG15" i="4"/>
  <c r="BH14" i="4"/>
  <c r="BE9" i="4"/>
  <c r="BC13" i="4"/>
  <c r="BD14" i="4"/>
  <c r="BG4" i="4"/>
  <c r="BD7" i="4"/>
  <c r="BD8" i="4"/>
  <c r="BG11" i="4"/>
  <c r="BD11" i="4"/>
  <c r="BF6" i="4"/>
  <c r="BH13" i="4"/>
  <c r="BH16" i="4"/>
  <c r="BG9" i="4"/>
  <c r="BE13" i="4"/>
  <c r="BF13" i="4"/>
  <c r="BE14" i="4"/>
  <c r="BG3" i="4"/>
  <c r="BH10" i="4"/>
  <c r="AV12" i="4" l="1"/>
  <c r="AV11" i="4"/>
  <c r="AV10" i="4"/>
  <c r="AV9" i="4"/>
  <c r="AV8" i="4"/>
  <c r="AV7" i="4"/>
  <c r="AV6" i="4"/>
  <c r="AV5" i="4"/>
  <c r="AV4" i="4"/>
  <c r="AW12" i="4"/>
  <c r="AW11" i="4"/>
  <c r="AW10" i="4"/>
  <c r="AW9" i="4"/>
  <c r="AW8" i="4"/>
  <c r="AW7" i="4"/>
  <c r="AW6" i="4"/>
  <c r="AW5" i="4"/>
  <c r="AW4" i="4"/>
  <c r="AW3" i="4"/>
  <c r="AQ27" i="3"/>
  <c r="AM27" i="3"/>
  <c r="GB11" i="1"/>
  <c r="GE11" i="1" s="1"/>
  <c r="GB10" i="1"/>
  <c r="GE10" i="1" s="1"/>
  <c r="GB9" i="1"/>
  <c r="GE9" i="1" s="1"/>
  <c r="GB8" i="1"/>
  <c r="GE8" i="1" s="1"/>
  <c r="GB7" i="1"/>
  <c r="GE7" i="1" s="1"/>
  <c r="GB6" i="1"/>
  <c r="GE6" i="1" s="1"/>
  <c r="GB5" i="1"/>
  <c r="GE5" i="1" s="1"/>
  <c r="GB4" i="1"/>
  <c r="GE4" i="1" s="1"/>
  <c r="GB3" i="1"/>
  <c r="GE3" i="1"/>
  <c r="GB2" i="1"/>
  <c r="GE2" i="1" s="1"/>
  <c r="GF4" i="1"/>
  <c r="GI4" i="1" s="1"/>
  <c r="GF11" i="1"/>
  <c r="GI11" i="1" s="1"/>
  <c r="GF10" i="1"/>
  <c r="GI10" i="1" s="1"/>
  <c r="GF9" i="1"/>
  <c r="GI9" i="1" s="1"/>
  <c r="GF8" i="1"/>
  <c r="GI8" i="1" s="1"/>
  <c r="GF7" i="1"/>
  <c r="GI7" i="1" s="1"/>
  <c r="GF6" i="1"/>
  <c r="GI6" i="1"/>
  <c r="GF5" i="1"/>
  <c r="GI5" i="1" s="1"/>
  <c r="GF3" i="1"/>
  <c r="GI3" i="1" s="1"/>
  <c r="GF2" i="1"/>
  <c r="GI2" i="1" s="1"/>
  <c r="FQ11" i="1"/>
  <c r="FQ10" i="1"/>
  <c r="FQ9" i="1"/>
  <c r="FQ8" i="1"/>
  <c r="FQ7" i="1"/>
  <c r="FQ6" i="1"/>
  <c r="FQ5" i="1"/>
  <c r="FQ4" i="1"/>
  <c r="FQ3" i="1"/>
  <c r="FQ2" i="1"/>
  <c r="FZ11" i="1"/>
  <c r="FZ10" i="1"/>
  <c r="FZ9" i="1"/>
  <c r="FZ8" i="1"/>
  <c r="FZ7" i="1"/>
  <c r="FZ6" i="1"/>
  <c r="GA6" i="1" s="1"/>
  <c r="FZ5" i="1"/>
  <c r="FZ4" i="1"/>
  <c r="FZ3" i="1"/>
  <c r="FZ2" i="1"/>
  <c r="FR18" i="1"/>
  <c r="FX11" i="1"/>
  <c r="FX10" i="1"/>
  <c r="FX9" i="1"/>
  <c r="FX8" i="1"/>
  <c r="FX7" i="1"/>
  <c r="FX6" i="1"/>
  <c r="FX5" i="1"/>
  <c r="FY5" i="1" s="1"/>
  <c r="FX4" i="1"/>
  <c r="FX3" i="1"/>
  <c r="FX2" i="1"/>
  <c r="P27" i="3"/>
  <c r="AD27" i="3"/>
  <c r="D2" i="1"/>
  <c r="CT2" i="1"/>
  <c r="FN2" i="1"/>
  <c r="E2" i="1" s="1"/>
  <c r="FO2" i="1"/>
  <c r="FP2" i="1" s="1"/>
  <c r="FR2" i="1" s="1"/>
  <c r="FS2" i="1"/>
  <c r="GA2" i="1" s="1"/>
  <c r="FW2" i="1"/>
  <c r="GC2" i="1"/>
  <c r="GK2" i="1" s="1"/>
  <c r="GL2" i="1" s="1"/>
  <c r="D3" i="1"/>
  <c r="CT3" i="1"/>
  <c r="FN3" i="1"/>
  <c r="F3" i="1" s="1"/>
  <c r="FO3" i="1"/>
  <c r="FS3" i="1"/>
  <c r="FT3" i="1" s="1"/>
  <c r="FU3" i="1" s="1"/>
  <c r="FW3" i="1"/>
  <c r="GC3" i="1"/>
  <c r="GK3" i="1" s="1"/>
  <c r="GL3" i="1" s="1"/>
  <c r="D4" i="1"/>
  <c r="CT4" i="1"/>
  <c r="FN4" i="1"/>
  <c r="F4" i="1" s="1"/>
  <c r="FO4" i="1"/>
  <c r="FS4" i="1"/>
  <c r="FW4" i="1"/>
  <c r="GC4" i="1"/>
  <c r="D5" i="1"/>
  <c r="CT5" i="1"/>
  <c r="FN5" i="1"/>
  <c r="G5" i="1" s="1"/>
  <c r="FO5" i="1"/>
  <c r="FV5" i="1" s="1"/>
  <c r="FS5" i="1"/>
  <c r="FW5" i="1"/>
  <c r="GC5" i="1"/>
  <c r="GK5" i="1" s="1"/>
  <c r="GL5" i="1" s="1"/>
  <c r="D6" i="1"/>
  <c r="CT6" i="1"/>
  <c r="FN6" i="1"/>
  <c r="G6" i="1" s="1"/>
  <c r="FO6" i="1"/>
  <c r="FS6" i="1"/>
  <c r="FW6" i="1"/>
  <c r="GC6" i="1"/>
  <c r="GG6" i="1" s="1"/>
  <c r="GH6" i="1" s="1"/>
  <c r="D7" i="1"/>
  <c r="CT7" i="1"/>
  <c r="FN7" i="1"/>
  <c r="G7" i="1" s="1"/>
  <c r="FO7" i="1"/>
  <c r="FS7" i="1"/>
  <c r="FT7" i="1" s="1"/>
  <c r="FU7" i="1" s="1"/>
  <c r="FW7" i="1"/>
  <c r="GC7" i="1"/>
  <c r="GK7" i="1" s="1"/>
  <c r="GL7" i="1" s="1"/>
  <c r="D8" i="1"/>
  <c r="CT8" i="1"/>
  <c r="FN8" i="1"/>
  <c r="G8" i="1" s="1"/>
  <c r="FO8" i="1"/>
  <c r="FV8" i="1" s="1"/>
  <c r="FS8" i="1"/>
  <c r="FW8" i="1"/>
  <c r="GC8" i="1"/>
  <c r="GK8" i="1" s="1"/>
  <c r="GL8" i="1" s="1"/>
  <c r="D9" i="1"/>
  <c r="CT9" i="1"/>
  <c r="FN9" i="1"/>
  <c r="E9" i="1" s="1"/>
  <c r="FO9" i="1"/>
  <c r="FS9" i="1"/>
  <c r="FW9" i="1"/>
  <c r="GC9" i="1"/>
  <c r="GK9" i="1" s="1"/>
  <c r="GL9" i="1" s="1"/>
  <c r="D10" i="1"/>
  <c r="CT10" i="1"/>
  <c r="FN10" i="1"/>
  <c r="E10" i="1" s="1"/>
  <c r="FO10" i="1"/>
  <c r="FP10" i="1" s="1"/>
  <c r="FR10" i="1" s="1"/>
  <c r="FS10" i="1"/>
  <c r="FW10" i="1"/>
  <c r="GC10" i="1"/>
  <c r="GK10" i="1" s="1"/>
  <c r="GL10" i="1" s="1"/>
  <c r="D11" i="1"/>
  <c r="CT11" i="1"/>
  <c r="FN11" i="1"/>
  <c r="H11" i="1" s="1"/>
  <c r="I11" i="1" s="1"/>
  <c r="FO11" i="1"/>
  <c r="FY11" i="1" s="1"/>
  <c r="FS11" i="1"/>
  <c r="FW11" i="1"/>
  <c r="GC11" i="1"/>
  <c r="GH16" i="1"/>
  <c r="GO20" i="1"/>
  <c r="GD3" i="1"/>
  <c r="GD5" i="1"/>
  <c r="GD11" i="1"/>
  <c r="F8" i="1"/>
  <c r="GD7" i="1"/>
  <c r="GK11" i="1"/>
  <c r="GL11" i="1" s="1"/>
  <c r="BC4" i="4"/>
  <c r="BC10" i="4"/>
  <c r="BC3" i="4"/>
  <c r="BC11" i="4"/>
  <c r="BC6" i="4"/>
  <c r="BC8" i="4"/>
  <c r="BC12" i="4"/>
  <c r="BC7" i="4"/>
  <c r="BC9" i="4"/>
  <c r="BC5" i="4"/>
  <c r="GM2" i="1" l="1"/>
  <c r="FV2" i="1"/>
  <c r="H4" i="1"/>
  <c r="I4" i="1" s="1"/>
  <c r="E4" i="1"/>
  <c r="F11" i="1"/>
  <c r="G11" i="1"/>
  <c r="G4" i="1"/>
  <c r="G9" i="1"/>
  <c r="FT11" i="1"/>
  <c r="FU11" i="1" s="1"/>
  <c r="FP6" i="1"/>
  <c r="FR6" i="1" s="1"/>
  <c r="F9" i="1"/>
  <c r="E5" i="1"/>
  <c r="GJ6" i="1"/>
  <c r="FT9" i="1"/>
  <c r="FU9" i="1" s="1"/>
  <c r="GM7" i="1"/>
  <c r="FT5" i="1"/>
  <c r="FU5" i="1" s="1"/>
  <c r="FP4" i="1"/>
  <c r="FR4" i="1" s="1"/>
  <c r="GM3" i="1"/>
  <c r="GN3" i="1" s="1"/>
  <c r="FY6" i="1"/>
  <c r="FT8" i="1"/>
  <c r="FU8" i="1" s="1"/>
  <c r="FT4" i="1"/>
  <c r="FU4" i="1" s="1"/>
  <c r="FU12" i="1" s="1"/>
  <c r="FU13" i="1" s="1"/>
  <c r="FP3" i="1"/>
  <c r="FR3" i="1" s="1"/>
  <c r="FR12" i="1" s="1"/>
  <c r="FR13" i="1" s="1"/>
  <c r="GM11" i="1"/>
  <c r="F10" i="1"/>
  <c r="E6" i="1"/>
  <c r="F5" i="1"/>
  <c r="FT10" i="1"/>
  <c r="FU10" i="1" s="1"/>
  <c r="FP9" i="1"/>
  <c r="FR9" i="1" s="1"/>
  <c r="FT6" i="1"/>
  <c r="FU6" i="1" s="1"/>
  <c r="FT2" i="1"/>
  <c r="FU2" i="1" s="1"/>
  <c r="H5" i="1"/>
  <c r="I5" i="1" s="1"/>
  <c r="FP7" i="1"/>
  <c r="FR7" i="1" s="1"/>
  <c r="H10" i="1"/>
  <c r="I10" i="1" s="1"/>
  <c r="FY7" i="1"/>
  <c r="GA4" i="1"/>
  <c r="H6" i="1"/>
  <c r="I6" i="1" s="1"/>
  <c r="GG2" i="1"/>
  <c r="GH2" i="1" s="1"/>
  <c r="GJ2" i="1" s="1"/>
  <c r="G10" i="1"/>
  <c r="FV7" i="1"/>
  <c r="GM8" i="1"/>
  <c r="GG10" i="1"/>
  <c r="GH10" i="1" s="1"/>
  <c r="GJ10" i="1" s="1"/>
  <c r="F6" i="1"/>
  <c r="H3" i="1"/>
  <c r="I3" i="1" s="1"/>
  <c r="FY8" i="1"/>
  <c r="FW12" i="1"/>
  <c r="FW13" i="1" s="1"/>
  <c r="GG4" i="1"/>
  <c r="GH4" i="1" s="1"/>
  <c r="GJ4" i="1" s="1"/>
  <c r="GG8" i="1"/>
  <c r="GH8" i="1" s="1"/>
  <c r="GJ8" i="1" s="1"/>
  <c r="GJ14" i="1" s="1"/>
  <c r="GD4" i="1"/>
  <c r="E3" i="1"/>
  <c r="G3" i="1"/>
  <c r="FV9" i="1"/>
  <c r="GM5" i="1"/>
  <c r="GD9" i="1"/>
  <c r="FV10" i="1"/>
  <c r="D12" i="1"/>
  <c r="D13" i="1" s="1"/>
  <c r="FY10" i="1"/>
  <c r="FZ14" i="1"/>
  <c r="GA7" i="1"/>
  <c r="GA11" i="1"/>
  <c r="FY4" i="1"/>
  <c r="F7" i="1"/>
  <c r="GD6" i="1"/>
  <c r="E8" i="1"/>
  <c r="GG3" i="1"/>
  <c r="GH3" i="1" s="1"/>
  <c r="GJ3" i="1" s="1"/>
  <c r="E7" i="1"/>
  <c r="F2" i="1"/>
  <c r="GM10" i="1"/>
  <c r="GG9" i="1"/>
  <c r="GH9" i="1" s="1"/>
  <c r="GJ9" i="1" s="1"/>
  <c r="D14" i="1"/>
  <c r="FV4" i="1"/>
  <c r="FW14" i="1"/>
  <c r="H2" i="1"/>
  <c r="I2" i="1" s="1"/>
  <c r="GD8" i="1"/>
  <c r="GA3" i="1"/>
  <c r="G2" i="1"/>
  <c r="FP11" i="1"/>
  <c r="FR11" i="1" s="1"/>
  <c r="H9" i="1"/>
  <c r="I9" i="1" s="1"/>
  <c r="FP8" i="1"/>
  <c r="FR8" i="1" s="1"/>
  <c r="GM9" i="1"/>
  <c r="GG7" i="1"/>
  <c r="GH7" i="1" s="1"/>
  <c r="GJ7" i="1" s="1"/>
  <c r="GG11" i="1"/>
  <c r="GH11" i="1" s="1"/>
  <c r="GJ11" i="1" s="1"/>
  <c r="GD2" i="1"/>
  <c r="GD10" i="1"/>
  <c r="GG5" i="1"/>
  <c r="GH5" i="1" s="1"/>
  <c r="GJ5" i="1" s="1"/>
  <c r="FV6" i="1"/>
  <c r="H8" i="1"/>
  <c r="I8" i="1" s="1"/>
  <c r="H7" i="1"/>
  <c r="I7" i="1" s="1"/>
  <c r="FV11" i="1"/>
  <c r="GK6" i="1"/>
  <c r="GL6" i="1" s="1"/>
  <c r="GM6" i="1" s="1"/>
  <c r="FP5" i="1"/>
  <c r="FR5" i="1" s="1"/>
  <c r="FZ12" i="1"/>
  <c r="FZ13" i="1" s="1"/>
  <c r="FV3" i="1"/>
  <c r="FY3" i="1"/>
  <c r="GA5" i="1"/>
  <c r="GA9" i="1"/>
  <c r="FY2" i="1"/>
  <c r="GA8" i="1"/>
  <c r="GA10" i="1"/>
  <c r="GN2" i="1"/>
  <c r="GN6" i="1"/>
  <c r="FY9" i="1"/>
  <c r="E11" i="1"/>
  <c r="GK4" i="1"/>
  <c r="GL4" i="1" s="1"/>
  <c r="GM4" i="1" s="1"/>
  <c r="AE3" i="3"/>
  <c r="AF22" i="3"/>
  <c r="AF20" i="3"/>
  <c r="AE22" i="3"/>
  <c r="AE20" i="3"/>
  <c r="AF21" i="3"/>
  <c r="AF19" i="3"/>
  <c r="AE21" i="3"/>
  <c r="AE19" i="3"/>
  <c r="R22" i="3"/>
  <c r="R20" i="3"/>
  <c r="Q22" i="3"/>
  <c r="Q20" i="3"/>
  <c r="R21" i="3"/>
  <c r="R19" i="3"/>
  <c r="Q21" i="3"/>
  <c r="Q19" i="3"/>
  <c r="AO22" i="3"/>
  <c r="AO20" i="3"/>
  <c r="AN22" i="3"/>
  <c r="AN20" i="3"/>
  <c r="AO21" i="3"/>
  <c r="AO19" i="3"/>
  <c r="AN21" i="3"/>
  <c r="AN19" i="3"/>
  <c r="AS22" i="3"/>
  <c r="AS20" i="3"/>
  <c r="AR22" i="3"/>
  <c r="AR20" i="3"/>
  <c r="AS21" i="3"/>
  <c r="AS19" i="3"/>
  <c r="AR21" i="3"/>
  <c r="AR19" i="3"/>
  <c r="AS15" i="3"/>
  <c r="AS11" i="3"/>
  <c r="AS7" i="3"/>
  <c r="AR18" i="3"/>
  <c r="AR14" i="3"/>
  <c r="AR10" i="3"/>
  <c r="AR6" i="3"/>
  <c r="AS12" i="3"/>
  <c r="AS4" i="3"/>
  <c r="AR11" i="3"/>
  <c r="AS18" i="3"/>
  <c r="AS14" i="3"/>
  <c r="AS10" i="3"/>
  <c r="AS6" i="3"/>
  <c r="AR17" i="3"/>
  <c r="AR13" i="3"/>
  <c r="AR9" i="3"/>
  <c r="AR5" i="3"/>
  <c r="AS17" i="3"/>
  <c r="AS13" i="3"/>
  <c r="AS9" i="3"/>
  <c r="AS5" i="3"/>
  <c r="AR16" i="3"/>
  <c r="AR12" i="3"/>
  <c r="AR8" i="3"/>
  <c r="AR4" i="3"/>
  <c r="AS16" i="3"/>
  <c r="AS8" i="3"/>
  <c r="AR15" i="3"/>
  <c r="AR7" i="3"/>
  <c r="AR3" i="3"/>
  <c r="AO16" i="3"/>
  <c r="AO12" i="3"/>
  <c r="AO8" i="3"/>
  <c r="AO4" i="3"/>
  <c r="AN15" i="3"/>
  <c r="AN11" i="3"/>
  <c r="AN7" i="3"/>
  <c r="AO17" i="3"/>
  <c r="AO9" i="3"/>
  <c r="AN16" i="3"/>
  <c r="AN12" i="3"/>
  <c r="AN4" i="3"/>
  <c r="AO15" i="3"/>
  <c r="AO11" i="3"/>
  <c r="AO7" i="3"/>
  <c r="AN18" i="3"/>
  <c r="AN14" i="3"/>
  <c r="AN10" i="3"/>
  <c r="AN6" i="3"/>
  <c r="AO18" i="3"/>
  <c r="AO14" i="3"/>
  <c r="AO10" i="3"/>
  <c r="AO6" i="3"/>
  <c r="AN17" i="3"/>
  <c r="AN13" i="3"/>
  <c r="AN9" i="3"/>
  <c r="AN5" i="3"/>
  <c r="AO13" i="3"/>
  <c r="AO5" i="3"/>
  <c r="AN8" i="3"/>
  <c r="AS3" i="3"/>
  <c r="AF17" i="3"/>
  <c r="AF15" i="3"/>
  <c r="AF13" i="3"/>
  <c r="AF11" i="3"/>
  <c r="AF9" i="3"/>
  <c r="AF7" i="3"/>
  <c r="AF5" i="3"/>
  <c r="AE18" i="3"/>
  <c r="AE16" i="3"/>
  <c r="AE14" i="3"/>
  <c r="AE12" i="3"/>
  <c r="AE10" i="3"/>
  <c r="AE8" i="3"/>
  <c r="AE6" i="3"/>
  <c r="AE4" i="3"/>
  <c r="AF18" i="3"/>
  <c r="AF16" i="3"/>
  <c r="AF14" i="3"/>
  <c r="AF12" i="3"/>
  <c r="AF10" i="3"/>
  <c r="AF8" i="3"/>
  <c r="AF6" i="3"/>
  <c r="AF4" i="3"/>
  <c r="AE17" i="3"/>
  <c r="AE15" i="3"/>
  <c r="AE13" i="3"/>
  <c r="AE11" i="3"/>
  <c r="AE9" i="3"/>
  <c r="AE7" i="3"/>
  <c r="AE5" i="3"/>
  <c r="R18" i="3"/>
  <c r="R16" i="3"/>
  <c r="R14" i="3"/>
  <c r="R12" i="3"/>
  <c r="R10" i="3"/>
  <c r="R8" i="3"/>
  <c r="R6" i="3"/>
  <c r="R4" i="3"/>
  <c r="Q17" i="3"/>
  <c r="Q15" i="3"/>
  <c r="Q13" i="3"/>
  <c r="Q11" i="3"/>
  <c r="Q9" i="3"/>
  <c r="Q7" i="3"/>
  <c r="Q5" i="3"/>
  <c r="R17" i="3"/>
  <c r="R15" i="3"/>
  <c r="R13" i="3"/>
  <c r="R11" i="3"/>
  <c r="R9" i="3"/>
  <c r="R7" i="3"/>
  <c r="R5" i="3"/>
  <c r="Q18" i="3"/>
  <c r="Q16" i="3"/>
  <c r="Q14" i="3"/>
  <c r="Q12" i="3"/>
  <c r="Q10" i="3"/>
  <c r="Q8" i="3"/>
  <c r="Q6" i="3"/>
  <c r="Q4" i="3"/>
  <c r="Q25" i="3"/>
  <c r="R25" i="3"/>
  <c r="AR25" i="3"/>
  <c r="AS25" i="3"/>
  <c r="AE25" i="3"/>
  <c r="AF25" i="3"/>
  <c r="AN25" i="3"/>
  <c r="AO25" i="3"/>
  <c r="AF3" i="3"/>
  <c r="AN3" i="3"/>
  <c r="AO3" i="3"/>
  <c r="AH27" i="3"/>
  <c r="G27" i="3"/>
  <c r="L27" i="3"/>
  <c r="Y27" i="3"/>
  <c r="U27" i="3"/>
  <c r="R3" i="3"/>
  <c r="Q3" i="3"/>
  <c r="C27" i="3"/>
  <c r="FU14" i="1" l="1"/>
  <c r="FR14" i="1"/>
  <c r="F14" i="1"/>
  <c r="GN10" i="1"/>
  <c r="GN11" i="1"/>
  <c r="GJ12" i="1"/>
  <c r="GJ13" i="1" s="1"/>
  <c r="GN7" i="1"/>
  <c r="GN8" i="1"/>
  <c r="G14" i="1"/>
  <c r="FY12" i="1"/>
  <c r="GN9" i="1"/>
  <c r="G12" i="1"/>
  <c r="G13" i="1" s="1"/>
  <c r="GN5" i="1"/>
  <c r="GN4" i="1"/>
  <c r="GA14" i="1"/>
  <c r="F12" i="1"/>
  <c r="F13" i="1" s="1"/>
  <c r="E14" i="1"/>
  <c r="FV12" i="1"/>
  <c r="FV13" i="1" s="1"/>
  <c r="GA12" i="1"/>
  <c r="GA13" i="1" s="1"/>
  <c r="FV14" i="1"/>
  <c r="E12" i="1"/>
  <c r="E13" i="1" s="1"/>
  <c r="FY13" i="1"/>
  <c r="FY14" i="1"/>
  <c r="W22" i="3"/>
  <c r="W20" i="3"/>
  <c r="V22" i="3"/>
  <c r="V20" i="3"/>
  <c r="W21" i="3"/>
  <c r="W19" i="3"/>
  <c r="V21" i="3"/>
  <c r="V19" i="3"/>
  <c r="N22" i="3"/>
  <c r="N20" i="3"/>
  <c r="M22" i="3"/>
  <c r="M20" i="3"/>
  <c r="N21" i="3"/>
  <c r="N19" i="3"/>
  <c r="M21" i="3"/>
  <c r="M19" i="3"/>
  <c r="AJ22" i="3"/>
  <c r="AJ20" i="3"/>
  <c r="AI22" i="3"/>
  <c r="AI20" i="3"/>
  <c r="AJ21" i="3"/>
  <c r="AJ19" i="3"/>
  <c r="AI21" i="3"/>
  <c r="AI19" i="3"/>
  <c r="AG3" i="3"/>
  <c r="AP13" i="3"/>
  <c r="AP14" i="3"/>
  <c r="AT12" i="3"/>
  <c r="AT18" i="3"/>
  <c r="AT21" i="3"/>
  <c r="AT22" i="3"/>
  <c r="AP21" i="3"/>
  <c r="AP22" i="3"/>
  <c r="S21" i="3"/>
  <c r="S22" i="3"/>
  <c r="AG21" i="3"/>
  <c r="AG22" i="3"/>
  <c r="E22" i="3"/>
  <c r="E20" i="3"/>
  <c r="D22" i="3"/>
  <c r="D20" i="3"/>
  <c r="E21" i="3"/>
  <c r="E19" i="3"/>
  <c r="D21" i="3"/>
  <c r="D19" i="3"/>
  <c r="AA22" i="3"/>
  <c r="AA20" i="3"/>
  <c r="Z22" i="3"/>
  <c r="Z20" i="3"/>
  <c r="AA21" i="3"/>
  <c r="AA19" i="3"/>
  <c r="Z21" i="3"/>
  <c r="Z19" i="3"/>
  <c r="H22" i="3"/>
  <c r="H20" i="3"/>
  <c r="H21" i="3"/>
  <c r="H19" i="3"/>
  <c r="I19" i="3"/>
  <c r="I20" i="3"/>
  <c r="I21" i="3"/>
  <c r="I22" i="3"/>
  <c r="AT3" i="3"/>
  <c r="AT19" i="3"/>
  <c r="AT20" i="3"/>
  <c r="AP19" i="3"/>
  <c r="AP20" i="3"/>
  <c r="S19" i="3"/>
  <c r="S20" i="3"/>
  <c r="AG19" i="3"/>
  <c r="AG20" i="3"/>
  <c r="AP15" i="3"/>
  <c r="AT13" i="3"/>
  <c r="AP17" i="3"/>
  <c r="AP18" i="3"/>
  <c r="AP4" i="3"/>
  <c r="AT16" i="3"/>
  <c r="AT17" i="3"/>
  <c r="AT6" i="3"/>
  <c r="AP5" i="3"/>
  <c r="AP6" i="3"/>
  <c r="AP12" i="3"/>
  <c r="AP7" i="3"/>
  <c r="AT7" i="3"/>
  <c r="AT4" i="3"/>
  <c r="AT5" i="3"/>
  <c r="AT11" i="3"/>
  <c r="AT10" i="3"/>
  <c r="N17" i="3"/>
  <c r="N13" i="3"/>
  <c r="N9" i="3"/>
  <c r="N5" i="3"/>
  <c r="M16" i="3"/>
  <c r="M12" i="3"/>
  <c r="M8" i="3"/>
  <c r="M4" i="3"/>
  <c r="N4" i="3"/>
  <c r="M11" i="3"/>
  <c r="N11" i="3"/>
  <c r="M18" i="3"/>
  <c r="M10" i="3"/>
  <c r="M6" i="3"/>
  <c r="N18" i="3"/>
  <c r="N10" i="3"/>
  <c r="M17" i="3"/>
  <c r="M9" i="3"/>
  <c r="N16" i="3"/>
  <c r="N12" i="3"/>
  <c r="N8" i="3"/>
  <c r="M15" i="3"/>
  <c r="M7" i="3"/>
  <c r="N15" i="3"/>
  <c r="N7" i="3"/>
  <c r="M14" i="3"/>
  <c r="N14" i="3"/>
  <c r="N6" i="3"/>
  <c r="M13" i="3"/>
  <c r="M5" i="3"/>
  <c r="AP8" i="3"/>
  <c r="AP9" i="3"/>
  <c r="AP10" i="3"/>
  <c r="AP16" i="3"/>
  <c r="AP11" i="3"/>
  <c r="AT15" i="3"/>
  <c r="AT8" i="3"/>
  <c r="AT9" i="3"/>
  <c r="AT14" i="3"/>
  <c r="AA17" i="3"/>
  <c r="AA13" i="3"/>
  <c r="AA9" i="3"/>
  <c r="AA5" i="3"/>
  <c r="Z16" i="3"/>
  <c r="Z12" i="3"/>
  <c r="Z8" i="3"/>
  <c r="Z4" i="3"/>
  <c r="AA18" i="3"/>
  <c r="AA16" i="3"/>
  <c r="AA14" i="3"/>
  <c r="AA12" i="3"/>
  <c r="AA10" i="3"/>
  <c r="AA8" i="3"/>
  <c r="AA6" i="3"/>
  <c r="AA4" i="3"/>
  <c r="Z17" i="3"/>
  <c r="Z15" i="3"/>
  <c r="Z13" i="3"/>
  <c r="Z11" i="3"/>
  <c r="Z9" i="3"/>
  <c r="Z7" i="3"/>
  <c r="Z5" i="3"/>
  <c r="AA15" i="3"/>
  <c r="AA11" i="3"/>
  <c r="AA7" i="3"/>
  <c r="Z18" i="3"/>
  <c r="Z14" i="3"/>
  <c r="Z10" i="3"/>
  <c r="Z6" i="3"/>
  <c r="E17" i="3"/>
  <c r="E15" i="3"/>
  <c r="E13" i="3"/>
  <c r="E11" i="3"/>
  <c r="E9" i="3"/>
  <c r="E7" i="3"/>
  <c r="E5" i="3"/>
  <c r="D18" i="3"/>
  <c r="D16" i="3"/>
  <c r="D14" i="3"/>
  <c r="D12" i="3"/>
  <c r="D10" i="3"/>
  <c r="D8" i="3"/>
  <c r="D6" i="3"/>
  <c r="D4" i="3"/>
  <c r="D9" i="3"/>
  <c r="D5" i="3"/>
  <c r="E18" i="3"/>
  <c r="E16" i="3"/>
  <c r="E14" i="3"/>
  <c r="E12" i="3"/>
  <c r="E10" i="3"/>
  <c r="E8" i="3"/>
  <c r="E6" i="3"/>
  <c r="E4" i="3"/>
  <c r="D17" i="3"/>
  <c r="D15" i="3"/>
  <c r="D13" i="3"/>
  <c r="D11" i="3"/>
  <c r="D7" i="3"/>
  <c r="AJ18" i="3"/>
  <c r="AJ16" i="3"/>
  <c r="AJ14" i="3"/>
  <c r="AJ12" i="3"/>
  <c r="AJ10" i="3"/>
  <c r="AJ8" i="3"/>
  <c r="AJ6" i="3"/>
  <c r="AJ4" i="3"/>
  <c r="AI17" i="3"/>
  <c r="AI15" i="3"/>
  <c r="AI13" i="3"/>
  <c r="AI11" i="3"/>
  <c r="AI9" i="3"/>
  <c r="AI7" i="3"/>
  <c r="AI5" i="3"/>
  <c r="AJ17" i="3"/>
  <c r="AJ15" i="3"/>
  <c r="AJ13" i="3"/>
  <c r="AJ11" i="3"/>
  <c r="AJ9" i="3"/>
  <c r="AJ7" i="3"/>
  <c r="AJ5" i="3"/>
  <c r="AI18" i="3"/>
  <c r="AI16" i="3"/>
  <c r="AI14" i="3"/>
  <c r="AI12" i="3"/>
  <c r="AI10" i="3"/>
  <c r="AI8" i="3"/>
  <c r="AI6" i="3"/>
  <c r="AI4" i="3"/>
  <c r="AG5" i="3"/>
  <c r="AG9" i="3"/>
  <c r="AG13" i="3"/>
  <c r="AG17" i="3"/>
  <c r="AG6" i="3"/>
  <c r="AG10" i="3"/>
  <c r="AG14" i="3"/>
  <c r="AG18" i="3"/>
  <c r="AG7" i="3"/>
  <c r="AG11" i="3"/>
  <c r="AG15" i="3"/>
  <c r="AG4" i="3"/>
  <c r="AG8" i="3"/>
  <c r="AG12" i="3"/>
  <c r="AG16" i="3"/>
  <c r="S4" i="3"/>
  <c r="S8" i="3"/>
  <c r="S12" i="3"/>
  <c r="S16" i="3"/>
  <c r="S7" i="3"/>
  <c r="S11" i="3"/>
  <c r="S15" i="3"/>
  <c r="S6" i="3"/>
  <c r="S10" i="3"/>
  <c r="S14" i="3"/>
  <c r="S18" i="3"/>
  <c r="S5" i="3"/>
  <c r="S9" i="3"/>
  <c r="S13" i="3"/>
  <c r="S17" i="3"/>
  <c r="W18" i="3"/>
  <c r="W16" i="3"/>
  <c r="W14" i="3"/>
  <c r="W12" i="3"/>
  <c r="W10" i="3"/>
  <c r="W8" i="3"/>
  <c r="W6" i="3"/>
  <c r="W4" i="3"/>
  <c r="W17" i="3"/>
  <c r="W15" i="3"/>
  <c r="W13" i="3"/>
  <c r="W11" i="3"/>
  <c r="W9" i="3"/>
  <c r="W7" i="3"/>
  <c r="W5" i="3"/>
  <c r="V18" i="3"/>
  <c r="V16" i="3"/>
  <c r="V14" i="3"/>
  <c r="V12" i="3"/>
  <c r="V10" i="3"/>
  <c r="V8" i="3"/>
  <c r="V6" i="3"/>
  <c r="V4" i="3"/>
  <c r="V17" i="3"/>
  <c r="V15" i="3"/>
  <c r="V13" i="3"/>
  <c r="V11" i="3"/>
  <c r="V9" i="3"/>
  <c r="V7" i="3"/>
  <c r="V5" i="3"/>
  <c r="H25" i="3"/>
  <c r="I17" i="3"/>
  <c r="I15" i="3"/>
  <c r="I13" i="3"/>
  <c r="I11" i="3"/>
  <c r="I9" i="3"/>
  <c r="I7" i="3"/>
  <c r="I5" i="3"/>
  <c r="H18" i="3"/>
  <c r="H16" i="3"/>
  <c r="H14" i="3"/>
  <c r="H12" i="3"/>
  <c r="H10" i="3"/>
  <c r="H8" i="3"/>
  <c r="H6" i="3"/>
  <c r="H4" i="3"/>
  <c r="I18" i="3"/>
  <c r="I16" i="3"/>
  <c r="I14" i="3"/>
  <c r="I12" i="3"/>
  <c r="I10" i="3"/>
  <c r="I8" i="3"/>
  <c r="I6" i="3"/>
  <c r="I4" i="3"/>
  <c r="H17" i="3"/>
  <c r="H15" i="3"/>
  <c r="H13" i="3"/>
  <c r="H11" i="3"/>
  <c r="H9" i="3"/>
  <c r="H7" i="3"/>
  <c r="H5" i="3"/>
  <c r="D25" i="3"/>
  <c r="E25" i="3"/>
  <c r="Z25" i="3"/>
  <c r="AA25" i="3"/>
  <c r="I25" i="3"/>
  <c r="V25" i="3"/>
  <c r="W25" i="3"/>
  <c r="M25" i="3"/>
  <c r="N25" i="3"/>
  <c r="AI25" i="3"/>
  <c r="AJ25" i="3"/>
  <c r="AP3" i="3"/>
  <c r="AJ3" i="3"/>
  <c r="AI3" i="3"/>
  <c r="M3" i="3"/>
  <c r="N3" i="3"/>
  <c r="H3" i="3"/>
  <c r="I3" i="3"/>
  <c r="AA3" i="3"/>
  <c r="Z3" i="3"/>
  <c r="W3" i="3"/>
  <c r="V3" i="3"/>
  <c r="S3" i="3"/>
  <c r="D3" i="3"/>
  <c r="E3" i="3"/>
  <c r="AU14" i="3" l="1"/>
  <c r="AU13" i="3"/>
  <c r="AU3" i="3"/>
  <c r="AU21" i="3"/>
  <c r="AU19" i="3"/>
  <c r="AU22" i="3"/>
  <c r="AU20" i="3"/>
  <c r="J21" i="3"/>
  <c r="J22" i="3"/>
  <c r="AB21" i="3"/>
  <c r="AB22" i="3"/>
  <c r="F21" i="3"/>
  <c r="F22" i="3"/>
  <c r="AK19" i="3"/>
  <c r="AL19" i="3" s="1"/>
  <c r="AK20" i="3"/>
  <c r="AL20" i="3" s="1"/>
  <c r="O19" i="3"/>
  <c r="T19" i="3" s="1"/>
  <c r="O20" i="3"/>
  <c r="T20" i="3" s="1"/>
  <c r="X19" i="3"/>
  <c r="X20" i="3"/>
  <c r="J19" i="3"/>
  <c r="J20" i="3"/>
  <c r="AB19" i="3"/>
  <c r="AB20" i="3"/>
  <c r="F19" i="3"/>
  <c r="F20" i="3"/>
  <c r="AK21" i="3"/>
  <c r="AL21" i="3" s="1"/>
  <c r="AK22" i="3"/>
  <c r="AL22" i="3" s="1"/>
  <c r="O21" i="3"/>
  <c r="T21" i="3" s="1"/>
  <c r="O22" i="3"/>
  <c r="T22" i="3" s="1"/>
  <c r="X21" i="3"/>
  <c r="X22" i="3"/>
  <c r="X7" i="3"/>
  <c r="X15" i="3"/>
  <c r="X8" i="3"/>
  <c r="X16" i="3"/>
  <c r="AK6" i="3"/>
  <c r="AL6" i="3" s="1"/>
  <c r="AK14" i="3"/>
  <c r="AL14" i="3" s="1"/>
  <c r="AK9" i="3"/>
  <c r="AK17" i="3"/>
  <c r="AL17" i="3" s="1"/>
  <c r="AU9" i="3"/>
  <c r="AU6" i="3"/>
  <c r="AU18" i="3"/>
  <c r="AU11" i="3"/>
  <c r="AU8" i="3"/>
  <c r="AU12" i="3"/>
  <c r="AU5" i="3"/>
  <c r="O4" i="3"/>
  <c r="T4" i="3" s="1"/>
  <c r="X17" i="3"/>
  <c r="X10" i="3"/>
  <c r="AK8" i="3"/>
  <c r="AL8" i="3" s="1"/>
  <c r="O7" i="3"/>
  <c r="T7" i="3" s="1"/>
  <c r="AU15" i="3"/>
  <c r="X5" i="3"/>
  <c r="X13" i="3"/>
  <c r="X6" i="3"/>
  <c r="X14" i="3"/>
  <c r="AK4" i="3"/>
  <c r="AL4" i="3" s="1"/>
  <c r="AK12" i="3"/>
  <c r="AL12" i="3" s="1"/>
  <c r="AK7" i="3"/>
  <c r="AL7" i="3" s="1"/>
  <c r="AK15" i="3"/>
  <c r="AL15" i="3" s="1"/>
  <c r="AU10" i="3"/>
  <c r="O13" i="3"/>
  <c r="T13" i="3" s="1"/>
  <c r="O17" i="3"/>
  <c r="T17" i="3" s="1"/>
  <c r="O10" i="3"/>
  <c r="T10" i="3" s="1"/>
  <c r="O16" i="3"/>
  <c r="T16" i="3" s="1"/>
  <c r="AU17" i="3"/>
  <c r="O18" i="3"/>
  <c r="T18" i="3" s="1"/>
  <c r="X9" i="3"/>
  <c r="X18" i="3"/>
  <c r="AL9" i="3"/>
  <c r="AK16" i="3"/>
  <c r="AL16" i="3" s="1"/>
  <c r="AK11" i="3"/>
  <c r="AL11" i="3" s="1"/>
  <c r="O8" i="3"/>
  <c r="AU4" i="3"/>
  <c r="X11" i="3"/>
  <c r="X4" i="3"/>
  <c r="X12" i="3"/>
  <c r="T8" i="3"/>
  <c r="AK10" i="3"/>
  <c r="AL10" i="3" s="1"/>
  <c r="AK18" i="3"/>
  <c r="AL18" i="3" s="1"/>
  <c r="AK5" i="3"/>
  <c r="AL5" i="3" s="1"/>
  <c r="AK13" i="3"/>
  <c r="AL13" i="3" s="1"/>
  <c r="AU16" i="3"/>
  <c r="O5" i="3"/>
  <c r="T5" i="3" s="1"/>
  <c r="O14" i="3"/>
  <c r="T14" i="3" s="1"/>
  <c r="O15" i="3"/>
  <c r="T15" i="3" s="1"/>
  <c r="O9" i="3"/>
  <c r="T9" i="3" s="1"/>
  <c r="O6" i="3"/>
  <c r="T6" i="3" s="1"/>
  <c r="O11" i="3"/>
  <c r="T11" i="3" s="1"/>
  <c r="O12" i="3"/>
  <c r="T12" i="3" s="1"/>
  <c r="AU7" i="3"/>
  <c r="AB6" i="3"/>
  <c r="AC6" i="3" s="1"/>
  <c r="AB14" i="3"/>
  <c r="AB7" i="3"/>
  <c r="AB11" i="3"/>
  <c r="AB15" i="3"/>
  <c r="AB4" i="3"/>
  <c r="AB12" i="3"/>
  <c r="AB10" i="3"/>
  <c r="AB18" i="3"/>
  <c r="AB5" i="3"/>
  <c r="AB9" i="3"/>
  <c r="AB13" i="3"/>
  <c r="AB17" i="3"/>
  <c r="AB8" i="3"/>
  <c r="AB16" i="3"/>
  <c r="F7" i="3"/>
  <c r="F13" i="3"/>
  <c r="F17" i="3"/>
  <c r="F9" i="3"/>
  <c r="F6" i="3"/>
  <c r="F10" i="3"/>
  <c r="F14" i="3"/>
  <c r="F18" i="3"/>
  <c r="F11" i="3"/>
  <c r="F15" i="3"/>
  <c r="F5" i="3"/>
  <c r="F4" i="3"/>
  <c r="F8" i="3"/>
  <c r="F12" i="3"/>
  <c r="F16" i="3"/>
  <c r="J5" i="3"/>
  <c r="J7" i="3"/>
  <c r="J11" i="3"/>
  <c r="J15" i="3"/>
  <c r="J4" i="3"/>
  <c r="J8" i="3"/>
  <c r="J12" i="3"/>
  <c r="J16" i="3"/>
  <c r="J9" i="3"/>
  <c r="J13" i="3"/>
  <c r="J17" i="3"/>
  <c r="J6" i="3"/>
  <c r="J10" i="3"/>
  <c r="J14" i="3"/>
  <c r="J18" i="3"/>
  <c r="J3" i="3"/>
  <c r="AK3" i="3"/>
  <c r="AL3" i="3" s="1"/>
  <c r="O3" i="3"/>
  <c r="T3" i="3" s="1"/>
  <c r="AB3" i="3"/>
  <c r="X3" i="3"/>
  <c r="F3" i="3"/>
  <c r="AC22" i="3" l="1"/>
  <c r="AC10" i="3"/>
  <c r="AC21" i="3"/>
  <c r="K3" i="3"/>
  <c r="AC12" i="3"/>
  <c r="AC7" i="3"/>
  <c r="AC16" i="3"/>
  <c r="AC9" i="3"/>
  <c r="AC8" i="3"/>
  <c r="AV16" i="3"/>
  <c r="AV5" i="3"/>
  <c r="AV11" i="3"/>
  <c r="AV14" i="3"/>
  <c r="AV6" i="3"/>
  <c r="AV17" i="3"/>
  <c r="AV13" i="3"/>
  <c r="AV19" i="3"/>
  <c r="K19" i="3"/>
  <c r="AC20" i="3"/>
  <c r="AV21" i="3"/>
  <c r="K21" i="3"/>
  <c r="AV12" i="3"/>
  <c r="AV4" i="3"/>
  <c r="AV15" i="3"/>
  <c r="AV18" i="3"/>
  <c r="AV10" i="3"/>
  <c r="AV9" i="3"/>
  <c r="AV20" i="3"/>
  <c r="K20" i="3"/>
  <c r="AC19" i="3"/>
  <c r="AV22" i="3"/>
  <c r="K22" i="3"/>
  <c r="AC15" i="3"/>
  <c r="AC4" i="3"/>
  <c r="AV8" i="3"/>
  <c r="AV7" i="3"/>
  <c r="AC13" i="3"/>
  <c r="AC11" i="3"/>
  <c r="AC5" i="3"/>
  <c r="AC14" i="3"/>
  <c r="AC17" i="3"/>
  <c r="AC18" i="3"/>
  <c r="K18" i="3"/>
  <c r="K10" i="3"/>
  <c r="K13" i="3"/>
  <c r="K12" i="3"/>
  <c r="K4" i="3"/>
  <c r="K15" i="3"/>
  <c r="K7" i="3"/>
  <c r="K14" i="3"/>
  <c r="K6" i="3"/>
  <c r="K17" i="3"/>
  <c r="K9" i="3"/>
  <c r="K16" i="3"/>
  <c r="K8" i="3"/>
  <c r="K11" i="3"/>
  <c r="K5" i="3"/>
  <c r="AC3" i="3"/>
  <c r="AV3" i="3"/>
</calcChain>
</file>

<file path=xl/sharedStrings.xml><?xml version="1.0" encoding="utf-8"?>
<sst xmlns="http://schemas.openxmlformats.org/spreadsheetml/2006/main" count="515" uniqueCount="422">
  <si>
    <t xml:space="preserve">Código do Município </t>
  </si>
  <si>
    <t xml:space="preserve">Município </t>
  </si>
  <si>
    <t xml:space="preserve">Estado </t>
  </si>
  <si>
    <t>Perda/m3</t>
  </si>
  <si>
    <t>Empregados/m3</t>
  </si>
  <si>
    <t>Salario Medio anual</t>
  </si>
  <si>
    <t xml:space="preserve">Ano de Referência </t>
  </si>
  <si>
    <t xml:space="preserve">Código do Prestador </t>
  </si>
  <si>
    <t xml:space="preserve">Prestador </t>
  </si>
  <si>
    <t xml:space="preserve">Sigla do Prestador </t>
  </si>
  <si>
    <t xml:space="preserve">Abrangência </t>
  </si>
  <si>
    <t xml:space="preserve">Tipo de Serviço </t>
  </si>
  <si>
    <t xml:space="preserve">Natureza Jurídica </t>
  </si>
  <si>
    <t>G05A - Quantidade total de municípios atendidos com abastecimento de água (Municípios)</t>
  </si>
  <si>
    <t>G05B - Quantidade total de municípios atendidos com esgotamento sanitário (Municípios)</t>
  </si>
  <si>
    <t>G06A - População urbana residente do(s) município(s) com abastecimento de água (Habitantes)</t>
  </si>
  <si>
    <t>G06B - População urbana residente do(s) município(s) com esgotamento sanitário (Habitantes)</t>
  </si>
  <si>
    <t>G12A - População total residente do(s) município(s) com abastecimento de água, segundo o IBGE (Habitantes)</t>
  </si>
  <si>
    <t>G12B - População total residente do(s) município(s) com esgotamento sanitário, segundo o IBGE (Habitantes)</t>
  </si>
  <si>
    <t>GE001 - Quantidade de municípios atendidos com abastecimento de água com delegação em vigor (Municípios)</t>
  </si>
  <si>
    <t>GE002 - Quantidade de municípios atendidos com abastecimento de água com delegação vencida (Municípios)</t>
  </si>
  <si>
    <t>GE003 - Quantidade de municípios atendidos com abastecimento de água sem delegação (Municípios)</t>
  </si>
  <si>
    <t>GE005 - Quantidade total de municípios atendidos (Municípios)</t>
  </si>
  <si>
    <t>GE008 - Quantidade de Sedes municipais atendidas com abastecimento de água (Sedes)</t>
  </si>
  <si>
    <t>GE009 - Quantidade de Sedes municipais atendidas com esgotamento sanitário (Sedes)</t>
  </si>
  <si>
    <t>GE010 - Quantidade de Localidades (excluídas as sedes) atendidas com abastecimento de água (Localidades)</t>
  </si>
  <si>
    <t>GE011 - Quantidade de Localidades (excluídas as sedes) atendidas com esgotamento sanitário (Localidades)</t>
  </si>
  <si>
    <t>GE014 - Quantidade de municípios atendidos com esgotamento sanitário com delegação em vigor (Municípios)</t>
  </si>
  <si>
    <t>GE015 - Quantidade de municípios atendidos com esgotamento sanitário com delegação vencida (Municípios)</t>
  </si>
  <si>
    <t>GE016 - Quantidade de municípios atendidos com esgotamento sanitário sem delegação (Municípios)</t>
  </si>
  <si>
    <t>GE017 - Ano de vencimento da delegação de abastecimento de água (Ano)</t>
  </si>
  <si>
    <t>GE018 - Ano de vencimento da delegação de esgotamento sanitário (Ano)</t>
  </si>
  <si>
    <t>GE025 - Quantidade de municípios não atendidos com abastecimento de água, mas com delegação em vigor (Municípios)</t>
  </si>
  <si>
    <t>GE026 - Quantidade de municípios não atendidos com abastecimento de água, mas com delegação vencida para prestar esses serviços (Municípios)</t>
  </si>
  <si>
    <t>GE028 - Quantidade de municípios não atendidos com esgotamento sanitário, mas com delegação em vigor para prestar esses serviços (Municípios)</t>
  </si>
  <si>
    <t>GE029 - Quantidade de municípios não atendidos com esgotamento sanitário, mas com delegação vencida para prestar esses serviços (Municípios)</t>
  </si>
  <si>
    <t>AG001 - População total atendida com abastecimento de água (Habitantes)</t>
  </si>
  <si>
    <t>AG001A - População total atendida com abastecimento de água no ano anterior ao de referência. (habitante)</t>
  </si>
  <si>
    <t>AG002 - Quantidade de ligações ativas de água (Ligações)</t>
  </si>
  <si>
    <t>AG002A - Quantidade de ligações ativas de água no ano anterior ao de referência. (ligação)</t>
  </si>
  <si>
    <t>AG003 - Quantidade de economias ativas de água (Economias)</t>
  </si>
  <si>
    <t>AG003A - Quantidade de economias ativas de água no ano anterior ao de referência. (economia)</t>
  </si>
  <si>
    <t>AG004 - Quantidade de ligações ativas de água micromedidas (Ligações)</t>
  </si>
  <si>
    <t>AG004A - Quantidade de ligações ativas de água micromedidas no ano anterior ao de referência. (ligação)</t>
  </si>
  <si>
    <t>AG005 - Extensão da rede de água (km)</t>
  </si>
  <si>
    <t>AG005A - Extensão da rede de água no ano anterior ao de referência. (km)</t>
  </si>
  <si>
    <t>AG006 - Volume de água produzido (1.000 m³/ano)</t>
  </si>
  <si>
    <t>AG007 - Volume de água tratada em ETAs (1.000 m³/ano)</t>
  </si>
  <si>
    <t>AG008 - Volume de água micromedido (1.000 m³/ano)</t>
  </si>
  <si>
    <t>AG010 - Volume de água consumido (1.000 m³/ano)</t>
  </si>
  <si>
    <t>AG011 - Volume de água faturado (1.000 m³/ano)</t>
  </si>
  <si>
    <t>AG012 - Volume de água macromedido (1.000 m³/ano)</t>
  </si>
  <si>
    <t>AG013 - Quantidade de economias residenciais ativas de água (Economias)</t>
  </si>
  <si>
    <t>AG013A - Quantidade de economias residenciais ativas de água no ano anterior ao de referência. (economia)</t>
  </si>
  <si>
    <t>AG014 - Quantidade de economias ativas de água micromedidas (Economias)</t>
  </si>
  <si>
    <t>AG014A - Quantidade de economias ativas de água micromedidas no ano anterior ao de referência. (economia)</t>
  </si>
  <si>
    <t>AG015 - Volume de água tratada por simples desinfecção (1.000 m³/ano)</t>
  </si>
  <si>
    <t>AG016 - Volume de água bruta importado (1.000 m³/ano)</t>
  </si>
  <si>
    <t>AG017 - Volume de água bruta exportado (1.000 m³/ano)</t>
  </si>
  <si>
    <t>AG018 - Volume de água tratada importado (1.000 m³/ano)</t>
  </si>
  <si>
    <t>AG019 - Volume de água tratada exportado (1.000 m³/ano)</t>
  </si>
  <si>
    <t>AG020 - Volume micromedido nas economias residenciais ativas de água (1.000 m³/ano)</t>
  </si>
  <si>
    <t>AG021 - Quantidade de ligações totais de água (Ligações)</t>
  </si>
  <si>
    <t>AG021A - Quantidade de ligações totais de água no ano anterior ao de referência. (ligação)</t>
  </si>
  <si>
    <t>AG022 - Quantidade de economias residenciais ativas de água micromedidas (Economias)</t>
  </si>
  <si>
    <t>AG022A - Quantidade de economias residenciais ativas de água micromedidas no ano anterior ao de referência. (economia)</t>
  </si>
  <si>
    <t>AG024 - Volume de serviço (1.000 m³/ano)</t>
  </si>
  <si>
    <t>AG025A - População rural atendida com abastecimento de água no ano anterior ao de referência. (habitante)</t>
  </si>
  <si>
    <t>AG026 - População urbana atendida com abastecimento de água (Habitantes)</t>
  </si>
  <si>
    <t>AG026A - População urbana atendida com abastecimento de água no ano anterior ao de referência. (habitante)</t>
  </si>
  <si>
    <t>AG027 - Volume de água fluoretada (1.000 m³/ano)</t>
  </si>
  <si>
    <t>AG028 - Consumo total de energia elétrica nos sistemas de água (1.000 kWh/ano)</t>
  </si>
  <si>
    <t>BL001 - Ativo circulante (1.000 R$/ano)</t>
  </si>
  <si>
    <t>BL002 - Ativo total (1.000 R$/ano)</t>
  </si>
  <si>
    <t>BL003 - Exigível a longo prazo (1.000 R$/ano)</t>
  </si>
  <si>
    <t>BL004 - Lucro líquido com depreciação (1.000 R$/ano)</t>
  </si>
  <si>
    <t>BL005 - Passivo circulante (1.000 R$/ano)</t>
  </si>
  <si>
    <t>BL006 - Patrimônio líquido (1.000 R$/ano)</t>
  </si>
  <si>
    <t>BL007 - Receita operacional (1.000 R$/ano)</t>
  </si>
  <si>
    <t>BL008 - Resultado de exercícios futuros (1.000 R$/ano)</t>
  </si>
  <si>
    <t>BL009 - Resultado operacional com depreciação (1.000 R$/ano)</t>
  </si>
  <si>
    <t>BL010 - Realizável a longo prazo (1.000 R$/ano)</t>
  </si>
  <si>
    <t>BL011 - Lucro líquido sem depreciação (1.000 R$/ano)</t>
  </si>
  <si>
    <t>BL012 - Resultado operacional sem depreciação (1.000 R$/ano)</t>
  </si>
  <si>
    <t>ES001 - População total atendida com esgotamento sanitário (Habitantes)</t>
  </si>
  <si>
    <t>ES001A - População total atendida com esgotamento sanitário no ano anterior ao de referência. (habitante)</t>
  </si>
  <si>
    <t>ES002 - Quantidade de ligações ativas de esgotos (Ligações)</t>
  </si>
  <si>
    <t>ES002A - Quantidade de ligações ativas de esgoto no ano anterior ao de referência. (ligação)</t>
  </si>
  <si>
    <t>ES003 - Quantidade de economias ativas de esgotos (Economias)</t>
  </si>
  <si>
    <t>ES003A - Quantidade de economias ativas de esgoto no ano anterior ao de referência. (economia)</t>
  </si>
  <si>
    <t>ES004 - Extensão da rede de esgotos (km)</t>
  </si>
  <si>
    <t>ES004A - Extensão da rede de esgoto no ano anterior ao de referência. (km)</t>
  </si>
  <si>
    <t>ES005 - Volume de esgotos coletado (1.000 m³/ano)</t>
  </si>
  <si>
    <t>ES006 - Volume de esgotos tratado (1.000 m³/ano)</t>
  </si>
  <si>
    <t>ES007 - Volume de esgotos faturado (1.000 m³/ano)</t>
  </si>
  <si>
    <t>ES008 - Quantidade de economias residenciais ativas de esgotos (Economias)</t>
  </si>
  <si>
    <t>ES008A - Quantidade de economias residenciais ativas de esgoto no ano anterior ao de referência. (economia)</t>
  </si>
  <si>
    <t>ES009 - Quantidade de ligações totais de esgotos (Ligações)</t>
  </si>
  <si>
    <t>ES009A - Quantidade de ligações totais de esgoto no ano anterior ao de referência. (ligação)</t>
  </si>
  <si>
    <t>ES012 - Volume de esgoto bruto exportado (1.000 m³/ano)</t>
  </si>
  <si>
    <t>ES013 - Volume de esgotos bruto importado (1.000m³/ano)</t>
  </si>
  <si>
    <t>ES014 - Volume de esgoto importado tratado nas instalações do importador (1.000 m³/ano)</t>
  </si>
  <si>
    <t>ES015 - Volume de esgoto bruto exportado tratado nas instalações do importador (1.000 m³/ano)</t>
  </si>
  <si>
    <t>ES025A - População rural atendida com esgotamento sanitário no ano anterior ao de referência. (habitante)</t>
  </si>
  <si>
    <t>ES026 - População urbana atendida com esgotamento sanitário (Habitantes)</t>
  </si>
  <si>
    <t>ES026A - População urbana atendida com esgotamento sanitário no ano anterior ao de referência. (habitante)</t>
  </si>
  <si>
    <t>ES028 - Consumo total de energia elétrica nos sistemas de esgotos (1.000 kWh/ano)</t>
  </si>
  <si>
    <t>FN001 - Receita operacional direta total (R$/ano)</t>
  </si>
  <si>
    <t>FN002 - Receita operacional direta de água (R$/ano)</t>
  </si>
  <si>
    <t>FN003 - Receita operacional direta de esgoto (R$/ano)</t>
  </si>
  <si>
    <t>FN004 - Receita operacional indireta (R$/ano)</t>
  </si>
  <si>
    <t>FN005 - Receita operacional total (direta + indireta) (R$/ano)</t>
  </si>
  <si>
    <t>FN006 - Arrecadação total (R$/ano)</t>
  </si>
  <si>
    <t>FN007 - Receita operacional direta de água exportada (bruta ou tratada) (R$/ano)</t>
  </si>
  <si>
    <t>FN008 - Créditos de contas a receber (R$/ano)</t>
  </si>
  <si>
    <t>FN008A - Crédito de contas a receber no ano anterior ao de referência. (R$/ano)</t>
  </si>
  <si>
    <t>FN010 - Despesa com pessoal próprio (R$/ano)</t>
  </si>
  <si>
    <t>FN011 - Despesa com produtos químicos (R$/ano)</t>
  </si>
  <si>
    <t>FN013 - Despesa com energia elétrica (R$/ano)</t>
  </si>
  <si>
    <t>FN014 - Despesa com serviços de terceiros (R$/ano)</t>
  </si>
  <si>
    <t>FN015 - Despesas de Exploração (DEX) (R$/ano)</t>
  </si>
  <si>
    <t>FN016 - Despesas com juros e encargos do serviço da dívida (R$/ano)</t>
  </si>
  <si>
    <t>FN017 - Despesas totais com os serviços (DTS) (R$/ano)</t>
  </si>
  <si>
    <t>FN018 - Despesas capitalizáveis realizadas pelo prestador de serviços (R$/ano)</t>
  </si>
  <si>
    <t>FN020 - Despesa com água importada (bruta ou tratada) (R$/ano)</t>
  </si>
  <si>
    <t>FN021 - Despesas fiscais ou tributárias computadas na DEX (R$/ano)</t>
  </si>
  <si>
    <t>FN022 - Despesas fiscais ou tributárias não computadas na DEX (R$/ano)</t>
  </si>
  <si>
    <t>FN023 - Investimento realizado em abastecimento de água pelo prestador de serviços (R$/ano)</t>
  </si>
  <si>
    <t>FN024 - Investimento realizado em esgotamento sanitário pelo prestador de serviços (R$/ano)</t>
  </si>
  <si>
    <t>FN025 - Outros investimentos realizados pelo prestador de serviços (R$/ano)</t>
  </si>
  <si>
    <t>FN026 - Quantidade total de empregados próprios (Empregados)</t>
  </si>
  <si>
    <t>FN026A - Quantidade total de empregados próprios no ano anterior ao de referência. (empregado)</t>
  </si>
  <si>
    <t>FN027 - Outras despesas de exploração (R$/ano)</t>
  </si>
  <si>
    <t>FN028 - Outras despesas com os serviços (R$/ano)</t>
  </si>
  <si>
    <t>FN030 - Investimento com recursos próprios realizado pelo prestador de serviços. (R$/ano)</t>
  </si>
  <si>
    <t>FN031 - Investimento com recursos onerosos realizado pelo prestador de serviços. (R$/ano)</t>
  </si>
  <si>
    <t>FN032 - Investimento com recursos não onerosos realizado pelo prestador de serviços. (R$/ano)</t>
  </si>
  <si>
    <t>FN033 - Investimentos totais realizados pelo prestador de serviços (R$/ano)</t>
  </si>
  <si>
    <t>FN034 - Despesas com amortizações do serviço da dívida (R$/ano)</t>
  </si>
  <si>
    <t>FN035 - Despesas com juros e encargos do serviço da dívida, exceto variações monetária e cambial (R$/ano)</t>
  </si>
  <si>
    <t>FN036 - Despesa com variações monetárias e cambiais das dívidas (R$/ano)</t>
  </si>
  <si>
    <t>FN037 - Despesas totais com o serviço da dívida (R$/ano)</t>
  </si>
  <si>
    <t>FN038 - Receita operacional direta - esgoto bruto importado (R$/ano)</t>
  </si>
  <si>
    <t>FN039 - Despesa com esgoto exportado (R$/ano)</t>
  </si>
  <si>
    <t>FN041 - Despesas capitalizáveis realizadas pelo(s) município(s) (R$/ano)</t>
  </si>
  <si>
    <t>FN042 - Investimento realizado em abastecimento de água pelo(s) município(s) (R$/ano)</t>
  </si>
  <si>
    <t>FN043 - Investimento realizado em esgotamento sanitário pelo(s) município(s) (R$/ano)</t>
  </si>
  <si>
    <t>FN044 - Outros investimentos realizados pelo(s) município(s) (R$/ano)</t>
  </si>
  <si>
    <t>FN045 - Investimento com recursos próprios realizado pelo(s) município(s) (R$/ano)</t>
  </si>
  <si>
    <t>FN046 - Investimento com recursos onerosos realizado pelo(s) município(s) (R$/ano)</t>
  </si>
  <si>
    <t>FN047 - Investimento com recursos não onerosos realizado pelo(s) município(s) (R$/ano)</t>
  </si>
  <si>
    <t>FN048 - Investimentos totais realizados pelo(s) município(s) (R$/ano)</t>
  </si>
  <si>
    <t>FN051 - Despesas capitalizáveis realizadas pelo estado (R$/ano)</t>
  </si>
  <si>
    <t>FN052 - Investimento realizado em abastecimento de água pelo estado (R$/ano)</t>
  </si>
  <si>
    <t>FN053 - Investimento realizado em esgotamento sanitário pelo estado (R$/ano)</t>
  </si>
  <si>
    <t>FN054 - Outros investimentos realizados pelo estado (R$/ano)</t>
  </si>
  <si>
    <t>FN055 - Investimento com recursos próprios realizado pelo estado (R$/ano)</t>
  </si>
  <si>
    <t>FN056 - Investimento com recursos onerosos realizado pelo estado (R$/ano)</t>
  </si>
  <si>
    <t>FN057 - Investimento com recursos não onerosos realizado pelo estado (R$/ano)</t>
  </si>
  <si>
    <t>FN058 - Investimentos totais realizados pelo estado (R$/ano)</t>
  </si>
  <si>
    <t>IN001 - Densidade de economias de água por ligação (econ./lig.)</t>
  </si>
  <si>
    <t>IN002 - Índice de produtividade: economias ativas por pessoal próprio (econ./empreg.)</t>
  </si>
  <si>
    <t>IN003 - Despesa total com os serviços por m3 faturado (R$/m³)</t>
  </si>
  <si>
    <t>IN004 - Tarifa média praticada (R$/m³)</t>
  </si>
  <si>
    <t>Volume água+esgoto (m3)</t>
  </si>
  <si>
    <t>Consumo de Agua percápita (m3/ano-&gt;l/personas día)</t>
  </si>
  <si>
    <t xml:space="preserve"> Despesa com produtos químicos (R$/ano)</t>
  </si>
  <si>
    <t>IN005 - Tarifa média de água (R$/m³)</t>
  </si>
  <si>
    <t>IN006 - Tarifa média de esgoto (R$/m³)</t>
  </si>
  <si>
    <t>IN007 - Incidência da desp. de pessoal e de serv. de terc. nas despesas totais com os serviços (percentual)</t>
  </si>
  <si>
    <t>IN008 - Despesa média anual por empregado (R$/empreg.)</t>
  </si>
  <si>
    <t>IN009 - Índice de hidrometração (percentual)</t>
  </si>
  <si>
    <t>IN010 - Índice de micromedição relativo ao volume disponibilizado (percentual)</t>
  </si>
  <si>
    <t>IN011 - Índice de macromedição (percentual)</t>
  </si>
  <si>
    <t>IN012 - Indicador de desempenho financeiro (percentual)</t>
  </si>
  <si>
    <t>IN013 - Índice de perdas faturamento (percentual)</t>
  </si>
  <si>
    <t>IN014 - Consumo micromedido por economia (m³/mês/econ.)</t>
  </si>
  <si>
    <t>IN015 - Índice de coleta de esgoto (percentual)</t>
  </si>
  <si>
    <t>IN016 - Índice de tratamento de esgoto (percentual)</t>
  </si>
  <si>
    <t>IN017 - Consumo de água faturado por economia (m³/mês/econ.)</t>
  </si>
  <si>
    <t>IN018 - Quantidade equivalente de pessoal total (empregado)</t>
  </si>
  <si>
    <t>IN019 - Índice de produtividade: economias ativas por pessoal total (equivalente) (econ./empreg. eqv.)</t>
  </si>
  <si>
    <t>IN020 - Extensão da rede de água por ligação (m/lig.)</t>
  </si>
  <si>
    <t>IN021 - Extensão da rede de esgoto por ligação (m/lig.)</t>
  </si>
  <si>
    <t>IN022 - Consumo médio percapita de água (l/hab./dia)</t>
  </si>
  <si>
    <t>IN023 - Índice de atendimento urbano de água (percentual)</t>
  </si>
  <si>
    <t>IN024 - Índice de atendimento urbano de esgoto referido aos municípios atendidos com água (percentual)</t>
  </si>
  <si>
    <t>IN025 - Volume de água disponibilizado por economia (m³/mês/econ.)</t>
  </si>
  <si>
    <t>IN026 - Despesa de exploração por m3 faturado (R$/m³)</t>
  </si>
  <si>
    <t>IN027 - Despesa de exploração por economia (R$/ano/econ.)</t>
  </si>
  <si>
    <t>IN028 - Índice de faturamento de água (percentual)</t>
  </si>
  <si>
    <t>IN029 - Índice de evasão de receitas (percentual)</t>
  </si>
  <si>
    <t>IN030 - Margem da despesa de exploração (percentual)</t>
  </si>
  <si>
    <t>IN031 - Margem da despesa com pessoal próprio (percentual)</t>
  </si>
  <si>
    <t>IN032 - Margem da despesa com pessoal total (equivalente) (percentual)</t>
  </si>
  <si>
    <t>IN033 - Margem do serviço da divida (percentual)</t>
  </si>
  <si>
    <t>IN034 - Margem das outras despesas de exploração (percentual)</t>
  </si>
  <si>
    <t>IN035 - Participação da despesa com pessoal próprio nas despesas de exploração (percentual)</t>
  </si>
  <si>
    <t>IN036 - Participação da despesa com pessoal total (equivalente) nas despesas de exploração (percentual)</t>
  </si>
  <si>
    <t>IN037 - Participação da despesa com energia elétrica nas despesas de exploração (percentual)</t>
  </si>
  <si>
    <t>IN038 - Participação da despesa com produtos químicos nas despesas de exploração (DEX) (percentual)</t>
  </si>
  <si>
    <t>IN039 - Participação das outras despesas nas despesas de exploração (percentual)</t>
  </si>
  <si>
    <t>IN040 - Participação da receita operacional direta de água na receita operacional total (percentual)</t>
  </si>
  <si>
    <t>IN041 - Participação da receita operacional direta de esgoto na receita operacional total (percentual)</t>
  </si>
  <si>
    <t>IN042 - Participação da receita operacional indireta na receita operacional total (percentual)</t>
  </si>
  <si>
    <t>IN043 - Participação das economias residenciais de água no total das economias de água (percentual)</t>
  </si>
  <si>
    <t>IN044 - Índice de micromedição relativo ao consumo (percentual)</t>
  </si>
  <si>
    <t>IN045 - Índice de produtividade: empregados próprios por 1000 ligações de água (empreg./mil lig.)</t>
  </si>
  <si>
    <t>IN046 - Índice de esgoto tratado referido à água consumida (percentual)</t>
  </si>
  <si>
    <t>IN047 - Índice de atendimento urbano de esgoto referido aos municípios atendidos com esgoto (percentual)</t>
  </si>
  <si>
    <t>IN048 - Índice de produtividade: empregados próprios por 1000 ligações de água + esgoto (empreg./mil lig.)</t>
  </si>
  <si>
    <t>IN049 - Índice de perdas na distribuição (percentual)</t>
  </si>
  <si>
    <t>IN050 - Índice bruto de perdas lineares (m³/dia/Km)</t>
  </si>
  <si>
    <t>IN051 - Índice de perdas por ligação (l/dia/lig.)</t>
  </si>
  <si>
    <t>IN052 - Índice de consumo de água (percentual)</t>
  </si>
  <si>
    <t>IN053 - Consumo médio de água por economia (m³/mês/econ.)</t>
  </si>
  <si>
    <t>IN054 - Dias de faturamento comprometidos com contas a receber (dias)</t>
  </si>
  <si>
    <t>IN055 - Índice de atendimento total de água (percentual)</t>
  </si>
  <si>
    <t>IN056 - Índice de atendimento total de esgoto referido aos municípios atendidos com água (percentual)</t>
  </si>
  <si>
    <t>IN057 - Índice de fluoretação de água (percentual)</t>
  </si>
  <si>
    <t>IN058 - Índice de consumo de energia elétrica em sistemas de abastecimento de água (kWh/m³)</t>
  </si>
  <si>
    <t>IN059 - Índice de consumo de energia elétrica em sistemas de esgotamento sanitário (kWh/m³)</t>
  </si>
  <si>
    <t>IN060 - Índice de despesas por consumo de energia elétrica nos sistemas de água e esgotos (R$/kWh)</t>
  </si>
  <si>
    <t xml:space="preserve">IN061 - Liquidez corrente </t>
  </si>
  <si>
    <t xml:space="preserve">IN062 - Liquidez geral </t>
  </si>
  <si>
    <t xml:space="preserve">IN063 - Grau de endividamento </t>
  </si>
  <si>
    <t>IN064 - Margem operacional com depreciação (percentual)</t>
  </si>
  <si>
    <t>Regional</t>
  </si>
  <si>
    <t>Água e Esgoto</t>
  </si>
  <si>
    <t>Sociedade de economia mista com administração pública</t>
  </si>
  <si>
    <t>Rio de Janeiro</t>
  </si>
  <si>
    <t>RJ</t>
  </si>
  <si>
    <t>Companhia Estadual de Águas e Esgotos</t>
  </si>
  <si>
    <t>CEDAE</t>
  </si>
  <si>
    <t>Fortaleza</t>
  </si>
  <si>
    <t>CE</t>
  </si>
  <si>
    <t>Companhia de Água e Esgoto do Ceará</t>
  </si>
  <si>
    <t>CAGECE</t>
  </si>
  <si>
    <t>São Luís</t>
  </si>
  <si>
    <t>MA</t>
  </si>
  <si>
    <t>Companhia de Saneamento Ambiental do Maranhão</t>
  </si>
  <si>
    <t>CAEMA</t>
  </si>
  <si>
    <t>João Pessoa</t>
  </si>
  <si>
    <t>PB</t>
  </si>
  <si>
    <t>Companhia de Águas e Esgotos da Paraíba</t>
  </si>
  <si>
    <t>CAGEPA</t>
  </si>
  <si>
    <t>Brasília</t>
  </si>
  <si>
    <t>DF</t>
  </si>
  <si>
    <t>Companhia de Saneamento Ambiental do Distrito Federal</t>
  </si>
  <si>
    <t>CAESB</t>
  </si>
  <si>
    <t>Florianópolis</t>
  </si>
  <si>
    <t>SC</t>
  </si>
  <si>
    <t>Companhia Catarinense de Águas e Saneamento</t>
  </si>
  <si>
    <t>CASAN</t>
  </si>
  <si>
    <t>Natal</t>
  </si>
  <si>
    <t>RN</t>
  </si>
  <si>
    <t>Companhia de Águas e Esgotos do Rio Grande do Norte</t>
  </si>
  <si>
    <t>CAERN</t>
  </si>
  <si>
    <t>Vitória</t>
  </si>
  <si>
    <t>ES</t>
  </si>
  <si>
    <t>Companhia Espírito-Santense de Saneamento</t>
  </si>
  <si>
    <t>CESAN</t>
  </si>
  <si>
    <t>Maceió</t>
  </si>
  <si>
    <t>AL</t>
  </si>
  <si>
    <t>Companhia de Saneamento de Alagoas</t>
  </si>
  <si>
    <t>CASAL</t>
  </si>
  <si>
    <t>Teresina</t>
  </si>
  <si>
    <t>PI</t>
  </si>
  <si>
    <t>Águas e Esgotos do Piauí S/A</t>
  </si>
  <si>
    <t>AGESPISA</t>
  </si>
  <si>
    <t>Menor X(i)</t>
  </si>
  <si>
    <t>C.A. Di Agustini (3,85E+21; 8,84E+20;7,44E+20;2,35E+20) Tabela 18 Pág 61</t>
  </si>
  <si>
    <t>USADO</t>
  </si>
  <si>
    <t>Mayor X(i)</t>
  </si>
  <si>
    <t>* Estimados</t>
  </si>
  <si>
    <t>Media X(i)</t>
  </si>
  <si>
    <t>0,6kgCH4/kgDBO</t>
  </si>
  <si>
    <t>Distribución Beta</t>
  </si>
  <si>
    <t>3,2x10E+11 SeJ/m³ (Buenfil 2001, citado por Carlos C. da Silva,2006.pp.26,Estação de Tratamento de Lodo Ativado)</t>
  </si>
  <si>
    <t>ONU 110,00 litros</t>
  </si>
  <si>
    <t>Brasil era de 166,3 litros</t>
  </si>
  <si>
    <t>Média de emissões de eletricidade 2014 (tCO2/MWh)</t>
  </si>
  <si>
    <t/>
  </si>
  <si>
    <t>Relação entre faturado e tratado %</t>
  </si>
  <si>
    <t>Valor Agregado Bruto (VAB/m3) = (FN002+FN003-FN011-FN013-FN014-FN020 (R$))/(AG011+ES007)) (R$/m3)</t>
  </si>
  <si>
    <t>∑(IPM)</t>
  </si>
  <si>
    <t>Meta</t>
  </si>
  <si>
    <t>Meta seleccionada</t>
  </si>
  <si>
    <t>Item</t>
  </si>
  <si>
    <t>Cantidad</t>
  </si>
  <si>
    <t xml:space="preserve">Índice de Gasto de Salários/VAB </t>
  </si>
  <si>
    <t>∑(Ind. Sector 1)</t>
  </si>
  <si>
    <t>∑(Ind. Sector 2)</t>
  </si>
  <si>
    <t>∑(Ind. Sector 3)</t>
  </si>
  <si>
    <t>∑(Ind. Sector 4)</t>
  </si>
  <si>
    <t>∑(Ind. Sector 5)</t>
  </si>
  <si>
    <t>Tasa Actual (Real/Dólar)</t>
  </si>
  <si>
    <t>Lucro/m3 (USD$/m3)</t>
  </si>
  <si>
    <t xml:space="preserve"> 5,58E+07 J/m3 (Vassalo) x 3,8E 06 sej/J (Björklund) UEV Esgoto= 21,2 x 10 E+13</t>
  </si>
  <si>
    <t>EM Dólar Italia ($/sej)</t>
  </si>
  <si>
    <t xml:space="preserve">Consumo de eletricidade Água (MWh/ano) </t>
  </si>
  <si>
    <t xml:space="preserve">Consumo de eletricidade Esgoto (MWh/ano) </t>
  </si>
  <si>
    <t>2,92x10E+11 SeJ/m³ (Buenfil 2001(Media)</t>
  </si>
  <si>
    <t>EMR  Brasil (Sej/$)</t>
  </si>
  <si>
    <t>Em dólar recebida pelos clientes (F+R) Água = (Volumen Facturado Água x UEV água)/ EMR Brasil (Em Dólar)</t>
  </si>
  <si>
    <t>,</t>
  </si>
  <si>
    <t>Emergia recebida pelos clientes (F+R) Esgoto =Volumen Facturado Esgoto x UEV Esgoto x EMR Brasil (sej/ano )</t>
  </si>
  <si>
    <t>Volume esgoto Facturado (m3)</t>
  </si>
  <si>
    <t>Volume água Facturada (m3)</t>
  </si>
  <si>
    <t>Total de Receita de Água =  Receita Água Facturada +Receita Água Exportada</t>
  </si>
  <si>
    <t>UEV Àgua (Sej/m3)</t>
  </si>
  <si>
    <t>UEV Esgoto (Sej/m3)</t>
  </si>
  <si>
    <t>UEV Esgoto (Ária&amp;Brow,2009) (Sej/m3)</t>
  </si>
  <si>
    <t xml:space="preserve">DBO entrada= 0,05 Kg/Personas.día x 365 día x População total atendida com esgotamento sanitário (Habitantes) (kg/ano) </t>
  </si>
  <si>
    <t>DBO Esgotos Tratados=DBOentrada-DBOsalida (kg/ano)</t>
  </si>
  <si>
    <t>DBO saída =0,06 Kg/m³ x Volume de esgoto tratado (1.000 m³/ano) (kg/ano)</t>
  </si>
  <si>
    <t>Emissão de CO2 eq/ano Esgoto no Tratado = Emissão por DBO de CH4/ano x 25 kg de CO2 (kg CO2/ano)/M3</t>
  </si>
  <si>
    <t>Emissão por DBO de CH4/ano Esgoto Tratado = 0,6kgCH4 x DBO x 1/kg (kg CH4/ano)</t>
  </si>
  <si>
    <t>Emissão por DBO de saída CH4/ano Esgoto Tratado saída = 0,6kgCH4 x DBO saída  X 25 /kg (kg CH4/ano)</t>
  </si>
  <si>
    <t>Emissão de CO2 eq/ano Esgoto Tratado =Emissão por DBO de CH4/ano Esgoto Tratado + Emissão por DBO de saída CH4/ano Esgoto Tratado saída (kg CO2/ano)/M3</t>
  </si>
  <si>
    <t>Emissão de CO2 Esgoto tratado somente de eletricidade=Consumo de eletricidade  x Média de emissões de eletricidade 2014 (tCO2/ano) (tCO2/ano)</t>
  </si>
  <si>
    <t>Emissão de CO2 Àgua tratada somente de eletricidade=Consumo de eletricidade Água x  (tCO2/ano)</t>
  </si>
  <si>
    <t>Beneficio Recebido (F+R)/Pago pelos clientes Água potável (adimensional)</t>
  </si>
  <si>
    <t>Beneficio Recebido (F+R)/Pago pelos clientes Esgotol (adimensional)</t>
  </si>
  <si>
    <t>Emissão Total de CO2 eq/ano EsgotoTratado y  no Tratado = Emissão por Electricidade Esgoto Tratados + Emissão por DBO Esgotos Tratados + Emissão por DBO saída Esgotos no Tratados (kg CO2/ano)/M3</t>
  </si>
  <si>
    <t>DBO entradaEsgotos no Tratados=0,06 Kg/m³ x (Volume de esgotos Coletado-Volume de esgotos Tratado (1.000 m³/ano) (kg/ano)</t>
  </si>
  <si>
    <t>∑( 5 Sectores)</t>
  </si>
  <si>
    <t xml:space="preserve">DBO generado= BDO per cápita (0,05 Kg/Personas.día) x População total atendida com esgotamento sanitário x 365 día/ano (Habitantes) (kg/ano) </t>
  </si>
  <si>
    <t>Emissão CO2 eq por DBO de CH4/ano Esgoto Tratado = fraccion de Esgostos Tratados (Volume de esgotos Tratado/Volume de esgotos Coletado) x DBO Generado x Factor de Remosion DBO (0,95 Santos et.al 2015) x Maxima produccion potencial de CH4 (0,6 Kg CH4/Kg DBO) x Factor de Correción (Considerado 1 para Esgotos Tratados) (kg CH4/ano)</t>
  </si>
  <si>
    <t>Emissão CO2 eq por DBO de CH4/ano existente en Pantas de tratamiento de Esgotos = (1- Fraccion de Esgostos Tratados (Volume de esgotos Tratado/Volume de esgotos Coletado)) x DBO Generado x (1-Factor de Remosion DBO (0,95 Santos et.al 2015)) x  Maxima produccion potencial de CH4 (0,6 Kg CH4/Kg DBO) x Factor de Correción (Considerado 1 para Esgotos Tratados) (kg CH4/ano)</t>
  </si>
  <si>
    <t>Ind. K11</t>
  </si>
  <si>
    <t>Ind. K21</t>
  </si>
  <si>
    <t>Ind. K22</t>
  </si>
  <si>
    <t>Ind. K31</t>
  </si>
  <si>
    <t>Ind. K32</t>
  </si>
  <si>
    <t>Ind. K41</t>
  </si>
  <si>
    <t>Ind. K42</t>
  </si>
  <si>
    <t>Ind. K51</t>
  </si>
  <si>
    <t>Ind. K52</t>
  </si>
  <si>
    <t>Nij (K11)</t>
  </si>
  <si>
    <t>Pij (K11)</t>
  </si>
  <si>
    <t>IPM (K11)</t>
  </si>
  <si>
    <t>Ind. K12</t>
  </si>
  <si>
    <t>Nij (K12)</t>
  </si>
  <si>
    <t>Pij (K12)</t>
  </si>
  <si>
    <t>IPM (K12)</t>
  </si>
  <si>
    <t>Nij (K21)</t>
  </si>
  <si>
    <t>Pij (K21)</t>
  </si>
  <si>
    <t>IPM (K21)</t>
  </si>
  <si>
    <t>Nij (K22)</t>
  </si>
  <si>
    <t>Pij (K22)</t>
  </si>
  <si>
    <t>IPM (K22)</t>
  </si>
  <si>
    <t>Nij (K31)</t>
  </si>
  <si>
    <t>Pij (K31)</t>
  </si>
  <si>
    <t>IPM (K31)</t>
  </si>
  <si>
    <t>Nij (K32)</t>
  </si>
  <si>
    <t>Pij (K32)</t>
  </si>
  <si>
    <t>IPM (K32)</t>
  </si>
  <si>
    <t>Nij (K41)</t>
  </si>
  <si>
    <t>Pij (K41)</t>
  </si>
  <si>
    <t>IPM (K41)</t>
  </si>
  <si>
    <t>Nij (K42)</t>
  </si>
  <si>
    <t>Pij (K42)</t>
  </si>
  <si>
    <t>IPM (K42)</t>
  </si>
  <si>
    <t>Nij (K51)</t>
  </si>
  <si>
    <t>Pij (K51)</t>
  </si>
  <si>
    <t>IPM (K51)</t>
  </si>
  <si>
    <t>Nij (K52)</t>
  </si>
  <si>
    <t>Pij (K52)</t>
  </si>
  <si>
    <t>IPM (K52)</t>
  </si>
  <si>
    <t>IPM (K22))</t>
  </si>
  <si>
    <t>Maximizar</t>
  </si>
  <si>
    <t>Minimizar</t>
  </si>
  <si>
    <t>Sector 1</t>
  </si>
  <si>
    <t>Sector 2</t>
  </si>
  <si>
    <t>Sector 3</t>
  </si>
  <si>
    <t>Sector 4</t>
  </si>
  <si>
    <t>Sector 5</t>
  </si>
  <si>
    <t>COMPESA</t>
  </si>
  <si>
    <t>COPASA</t>
  </si>
  <si>
    <t>CORSAN</t>
  </si>
  <si>
    <t>COSANPA</t>
  </si>
  <si>
    <t>DESO</t>
  </si>
  <si>
    <t>EMBASA</t>
  </si>
  <si>
    <t>SABESP</t>
  </si>
  <si>
    <t>SANEAGO</t>
  </si>
  <si>
    <t>SANEPAR</t>
  </si>
  <si>
    <t>20</t>
  </si>
  <si>
    <t>ENVIRONMENT AS PROVIDER ( Sector 1)</t>
  </si>
  <si>
    <t>ENVIRONMENT AS RECEIVER (Sector 2)</t>
  </si>
  <si>
    <t>PRODUCTION SYSTEM (Sector 3)</t>
  </si>
  <si>
    <t>SOCIETY AS PROVIDER  (Sector 4)</t>
  </si>
  <si>
    <t>SOCIETY AS RECEIVER (Sector 5)</t>
  </si>
  <si>
    <t>Sustainability</t>
  </si>
  <si>
    <t xml:space="preserve"> intervals</t>
  </si>
  <si>
    <t>Company ordered</t>
  </si>
  <si>
    <t>K21 - CO2 sewage emission eq/year Treated and non Treated Sewage = Emissions by Electricity, Treated Sewage + BOD Emission by Treated Sewage + BOD Emission by Non Treated Sewage (tCO2/m3 year)</t>
  </si>
  <si>
    <t xml:space="preserve">K42 - Salaries Index/GVA </t>
  </si>
  <si>
    <t>K52 - Relation between treated and invoiced Sewage (%)</t>
  </si>
  <si>
    <t>Index</t>
  </si>
  <si>
    <t>SYSTEM</t>
  </si>
  <si>
    <t>Higher value K(i)</t>
  </si>
  <si>
    <t>Lower value Ki)</t>
  </si>
  <si>
    <t xml:space="preserve">For positive indicators  or negative indicators </t>
  </si>
  <si>
    <t>Goal value of indicator</t>
  </si>
  <si>
    <t>Goal value selected</t>
  </si>
  <si>
    <t>Weight of indicator</t>
  </si>
  <si>
    <t>Desired address</t>
  </si>
  <si>
    <t>Weight of  Sector 5</t>
  </si>
  <si>
    <t>Weight of  Sector 4</t>
  </si>
  <si>
    <t>Weight of  Sector 3</t>
  </si>
  <si>
    <t>Weight of  Sector 2</t>
  </si>
  <si>
    <t>Weight of  Sector 1</t>
  </si>
  <si>
    <t>K11- Loss (m³)</t>
  </si>
  <si>
    <t>K22 - CO2 emission treated water only electricity  (tCO2/m³ year)</t>
  </si>
  <si>
    <t>K31 - Profit (USD/m³)</t>
  </si>
  <si>
    <t>K32 - Gross Value Added (GVA/m3) = (FN002+FN003-FN011-FN013-FN014-FN020 (R$))/(AG011+ES007)) (USD/m³)</t>
  </si>
  <si>
    <t>K41 - Labor use Employee/Mm³</t>
  </si>
  <si>
    <t>K51 - Water consumption per capita (m³/person day)</t>
  </si>
  <si>
    <t>K12 - Consumption of water extracted from source/Population attended (m³/person)</t>
  </si>
  <si>
    <t>WWT Companies</t>
  </si>
  <si>
    <t>WWT Company ordered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</si>
</sst>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4" formatCode="_-&quot;R$&quot;\ * #,##0.00_-;\-&quot;R$&quot;\ * #,##0.00_-;_-&quot;R$&quot;\ * &quot;-&quot;??_-;_-@_-"/>
    <numFmt numFmtId="164" formatCode="_-* #,##0.00\ _€_-;\-* #,##0.00\ _€_-;_-* &quot;-&quot;??\ _€_-;_-@_-"/>
    <numFmt numFmtId="165" formatCode="0.0000000"/>
    <numFmt numFmtId="166" formatCode="0.0000"/>
    <numFmt numFmtId="167" formatCode="0.00000"/>
    <numFmt numFmtId="168" formatCode="0.000"/>
    <numFmt numFmtId="169" formatCode="0.000000"/>
    <numFmt numFmtId="170" formatCode="0.0000E+00"/>
    <numFmt numFmtId="171" formatCode="0.0"/>
    <numFmt numFmtId="172" formatCode="_-* #,##0.000\ _€_-;\-* #,##0.000\ _€_-;_-* &quot;-&quot;??\ _€_-;_-@_-"/>
    <numFmt numFmtId="173" formatCode="_(&quot;€&quot;* #,##0.00_);_(&quot;€&quot;* \(#,##0.00\);_(&quot;€&quot;* &quot;-&quot;??_);_(@_)"/>
    <numFmt numFmtId="174" formatCode="_-* #,##0.00\ _$_-;\-* #,##0.00\ _$_-;_-* &quot;-&quot;??\ _$_-;_-@_-"/>
  </numFmts>
  <fonts count="45">
    <font>
      <sz val="11"/>
      <color theme="1"/>
      <name val="Franklin Gothic Book"/>
      <family val="2"/>
    </font>
    <font>
      <sz val="11"/>
      <color indexed="8"/>
      <name val="Calibri"/>
      <family val="2"/>
    </font>
    <font>
      <sz val="11"/>
      <color indexed="10"/>
      <name val="Calibri"/>
      <family val="2"/>
    </font>
    <font>
      <sz val="9"/>
      <color indexed="8"/>
      <name val="Arial"/>
      <family val="2"/>
    </font>
    <font>
      <sz val="11"/>
      <name val="Calibri"/>
      <family val="2"/>
    </font>
    <font>
      <sz val="9"/>
      <color indexed="63"/>
      <name val="Tahoma"/>
      <family val="2"/>
    </font>
    <font>
      <sz val="10"/>
      <color indexed="8"/>
      <name val="Arial"/>
      <family val="2"/>
    </font>
    <font>
      <sz val="8"/>
      <name val="Calibri"/>
      <family val="2"/>
    </font>
    <font>
      <sz val="11"/>
      <color indexed="8"/>
      <name val="Arial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color indexed="8"/>
      <name val="Franklin Gothic Book"/>
      <family val="2"/>
    </font>
    <font>
      <sz val="11"/>
      <color indexed="10"/>
      <name val="Franklin Gothic Book"/>
      <family val="2"/>
    </font>
    <font>
      <sz val="11"/>
      <color indexed="13"/>
      <name val="Franklin Gothic Book"/>
      <family val="2"/>
    </font>
    <font>
      <b/>
      <sz val="11"/>
      <color indexed="13"/>
      <name val="Franklin Gothic Book"/>
      <family val="2"/>
    </font>
    <font>
      <sz val="11"/>
      <color indexed="10"/>
      <name val="Franklin Gothic Book"/>
      <family val="2"/>
    </font>
    <font>
      <sz val="9"/>
      <color indexed="10"/>
      <name val="Verdana"/>
      <family val="2"/>
    </font>
    <font>
      <b/>
      <sz val="11"/>
      <color indexed="13"/>
      <name val="Calibri"/>
      <family val="2"/>
    </font>
    <font>
      <b/>
      <sz val="11"/>
      <color indexed="13"/>
      <name val="Arial"/>
      <family val="2"/>
    </font>
    <font>
      <sz val="11"/>
      <color indexed="8"/>
      <name val="Franklin Gothic Book"/>
      <family val="2"/>
    </font>
    <font>
      <sz val="11"/>
      <color indexed="55"/>
      <name val="Franklin Gothic Book"/>
      <family val="2"/>
    </font>
    <font>
      <sz val="11"/>
      <color indexed="10"/>
      <name val="Calibri"/>
      <family val="2"/>
    </font>
    <font>
      <sz val="11"/>
      <color rgb="FF000000"/>
      <name val="Calibri"/>
      <family val="2"/>
    </font>
    <font>
      <sz val="8"/>
      <color rgb="FF000000"/>
      <name val="Tahoma"/>
      <family val="2"/>
    </font>
    <font>
      <sz val="10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56"/>
      <name val="Calibri"/>
      <family val="2"/>
    </font>
    <font>
      <i/>
      <sz val="11"/>
      <color indexed="23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u/>
      <sz val="10"/>
      <color indexed="12"/>
      <name val="Arial"/>
      <family val="2"/>
    </font>
    <font>
      <sz val="10"/>
      <name val="Arial Narrow"/>
      <family val="2"/>
    </font>
    <font>
      <sz val="11"/>
      <color indexed="60"/>
      <name val="Calibri"/>
      <family val="2"/>
    </font>
    <font>
      <sz val="12"/>
      <name val="Myriad Pro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sz val="11"/>
      <color theme="0" tint="-0.249977111117893"/>
      <name val="Franklin Gothic Book"/>
      <family val="2"/>
    </font>
    <font>
      <sz val="12"/>
      <color indexed="13"/>
      <name val="Franklin Gothic Book"/>
      <family val="2"/>
    </font>
    <font>
      <b/>
      <sz val="11"/>
      <name val="Franklin Gothic Book"/>
      <family val="2"/>
    </font>
  </fonts>
  <fills count="3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9"/>
      </patternFill>
    </fill>
    <fill>
      <patternFill patternType="solid">
        <fgColor indexed="62"/>
      </patternFill>
    </fill>
    <fill>
      <patternFill patternType="solid">
        <fgColor rgb="FF009900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124">
    <xf numFmtId="0" fontId="0" fillId="0" borderId="0"/>
    <xf numFmtId="16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2" borderId="0" applyNumberFormat="0" applyBorder="0" applyAlignment="0" applyProtection="0"/>
    <xf numFmtId="0" fontId="1" fillId="9" borderId="0" applyNumberFormat="0" applyBorder="0" applyAlignment="0" applyProtection="0"/>
    <xf numFmtId="0" fontId="1" fillId="17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20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1" borderId="0" applyNumberFormat="0" applyBorder="0" applyAlignment="0" applyProtection="0"/>
    <xf numFmtId="0" fontId="25" fillId="22" borderId="0" applyNumberFormat="0" applyBorder="0" applyAlignment="0" applyProtection="0"/>
    <xf numFmtId="0" fontId="25" fillId="10" borderId="0" applyNumberFormat="0" applyBorder="0" applyAlignment="0" applyProtection="0"/>
    <xf numFmtId="0" fontId="25" fillId="18" borderId="0" applyNumberFormat="0" applyBorder="0" applyAlignment="0" applyProtection="0"/>
    <xf numFmtId="0" fontId="25" fillId="17" borderId="0" applyNumberFormat="0" applyBorder="0" applyAlignment="0" applyProtection="0"/>
    <xf numFmtId="0" fontId="25" fillId="22" borderId="0" applyNumberFormat="0" applyBorder="0" applyAlignment="0" applyProtection="0"/>
    <xf numFmtId="0" fontId="25" fillId="10" borderId="0" applyNumberFormat="0" applyBorder="0" applyAlignment="0" applyProtection="0"/>
    <xf numFmtId="0" fontId="25" fillId="23" borderId="0" applyNumberFormat="0" applyBorder="0" applyAlignment="0" applyProtection="0"/>
    <xf numFmtId="0" fontId="25" fillId="10" borderId="0" applyNumberFormat="0" applyBorder="0" applyAlignment="0" applyProtection="0"/>
    <xf numFmtId="0" fontId="25" fillId="20" borderId="0" applyNumberFormat="0" applyBorder="0" applyAlignment="0" applyProtection="0"/>
    <xf numFmtId="0" fontId="25" fillId="24" borderId="0" applyNumberFormat="0" applyBorder="0" applyAlignment="0" applyProtection="0"/>
    <xf numFmtId="0" fontId="25" fillId="22" borderId="0" applyNumberFormat="0" applyBorder="0" applyAlignment="0" applyProtection="0"/>
    <xf numFmtId="0" fontId="25" fillId="25" borderId="0" applyNumberFormat="0" applyBorder="0" applyAlignment="0" applyProtection="0"/>
    <xf numFmtId="0" fontId="25" fillId="22" borderId="0" applyNumberFormat="0" applyBorder="0" applyAlignment="0" applyProtection="0"/>
    <xf numFmtId="0" fontId="25" fillId="26" borderId="0" applyNumberFormat="0" applyBorder="0" applyAlignment="0" applyProtection="0"/>
    <xf numFmtId="0" fontId="25" fillId="27" borderId="0" applyNumberFormat="0" applyBorder="0" applyAlignment="0" applyProtection="0"/>
    <xf numFmtId="0" fontId="25" fillId="28" borderId="0" applyNumberFormat="0" applyBorder="0" applyAlignment="0" applyProtection="0"/>
    <xf numFmtId="0" fontId="25" fillId="22" borderId="0" applyNumberFormat="0" applyBorder="0" applyAlignment="0" applyProtection="0"/>
    <xf numFmtId="0" fontId="25" fillId="29" borderId="0" applyNumberFormat="0" applyBorder="0" applyAlignment="0" applyProtection="0"/>
    <xf numFmtId="0" fontId="26" fillId="14" borderId="0" applyNumberFormat="0" applyBorder="0" applyAlignment="0" applyProtection="0"/>
    <xf numFmtId="0" fontId="27" fillId="15" borderId="0" applyNumberFormat="0" applyBorder="0" applyAlignment="0" applyProtection="0"/>
    <xf numFmtId="0" fontId="28" fillId="30" borderId="15" applyNumberFormat="0" applyAlignment="0" applyProtection="0"/>
    <xf numFmtId="0" fontId="28" fillId="17" borderId="15" applyNumberFormat="0" applyAlignment="0" applyProtection="0"/>
    <xf numFmtId="0" fontId="24" fillId="0" borderId="0" applyFont="0" applyFill="0" applyBorder="0" applyAlignment="0" applyProtection="0"/>
    <xf numFmtId="0" fontId="25" fillId="31" borderId="0" applyNumberFormat="0" applyBorder="0" applyAlignment="0" applyProtection="0"/>
    <xf numFmtId="0" fontId="25" fillId="26" borderId="0" applyNumberFormat="0" applyBorder="0" applyAlignment="0" applyProtection="0"/>
    <xf numFmtId="0" fontId="25" fillId="27" borderId="0" applyNumberFormat="0" applyBorder="0" applyAlignment="0" applyProtection="0"/>
    <xf numFmtId="0" fontId="25" fillId="24" borderId="0" applyNumberFormat="0" applyBorder="0" applyAlignment="0" applyProtection="0"/>
    <xf numFmtId="0" fontId="25" fillId="22" borderId="0" applyNumberFormat="0" applyBorder="0" applyAlignment="0" applyProtection="0"/>
    <xf numFmtId="0" fontId="25" fillId="29" borderId="0" applyNumberFormat="0" applyBorder="0" applyAlignment="0" applyProtection="0"/>
    <xf numFmtId="0" fontId="24" fillId="0" borderId="0"/>
    <xf numFmtId="173" fontId="24" fillId="0" borderId="0" applyFon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16" applyNumberFormat="0" applyFill="0" applyAlignment="0" applyProtection="0"/>
    <xf numFmtId="0" fontId="32" fillId="0" borderId="17" applyNumberFormat="0" applyFill="0" applyAlignment="0" applyProtection="0"/>
    <xf numFmtId="0" fontId="33" fillId="0" borderId="18" applyNumberFormat="0" applyFill="0" applyAlignment="0" applyProtection="0"/>
    <xf numFmtId="0" fontId="34" fillId="0" borderId="0" applyNumberFormat="0" applyFill="0" applyBorder="0" applyAlignment="0" applyProtection="0">
      <alignment vertical="top"/>
      <protection locked="0"/>
    </xf>
    <xf numFmtId="0" fontId="34" fillId="0" borderId="0" applyNumberFormat="0" applyFill="0" applyBorder="0" applyAlignment="0" applyProtection="0">
      <alignment vertical="top"/>
      <protection locked="0"/>
    </xf>
    <xf numFmtId="0" fontId="34" fillId="0" borderId="0" applyNumberFormat="0" applyFill="0" applyBorder="0" applyAlignment="0" applyProtection="0">
      <alignment vertical="top"/>
      <protection locked="0"/>
    </xf>
    <xf numFmtId="0" fontId="26" fillId="14" borderId="0" applyNumberFormat="0" applyBorder="0" applyAlignment="0" applyProtection="0"/>
    <xf numFmtId="174" fontId="35" fillId="0" borderId="0" applyFont="0" applyFill="0" applyBorder="0" applyAlignment="0" applyProtection="0"/>
    <xf numFmtId="0" fontId="36" fillId="18" borderId="0" applyNumberFormat="0" applyBorder="0" applyAlignment="0" applyProtection="0"/>
    <xf numFmtId="0" fontId="1" fillId="0" borderId="0"/>
    <xf numFmtId="4" fontId="24" fillId="0" borderId="0"/>
    <xf numFmtId="0" fontId="24" fillId="0" borderId="0"/>
    <xf numFmtId="0" fontId="1" fillId="0" borderId="0"/>
    <xf numFmtId="0" fontId="24" fillId="0" borderId="0"/>
    <xf numFmtId="4" fontId="24" fillId="0" borderId="0"/>
    <xf numFmtId="0" fontId="24" fillId="0" borderId="0"/>
    <xf numFmtId="0" fontId="35" fillId="0" borderId="0"/>
    <xf numFmtId="0" fontId="37" fillId="0" borderId="0"/>
    <xf numFmtId="0" fontId="24" fillId="0" borderId="0"/>
    <xf numFmtId="0" fontId="1" fillId="0" borderId="0"/>
    <xf numFmtId="0" fontId="24" fillId="0" borderId="0"/>
    <xf numFmtId="0" fontId="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38" fillId="30" borderId="19" applyNumberFormat="0" applyAlignment="0" applyProtection="0"/>
    <xf numFmtId="9" fontId="24" fillId="0" borderId="0" applyFont="0" applyFill="0" applyBorder="0" applyAlignment="0" applyProtection="0"/>
    <xf numFmtId="0" fontId="38" fillId="17" borderId="19" applyNumberFormat="0" applyAlignment="0" applyProtection="0"/>
    <xf numFmtId="0" fontId="3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17" applyNumberFormat="0" applyFill="0" applyAlignment="0" applyProtection="0"/>
    <xf numFmtId="0" fontId="29" fillId="0" borderId="20" applyNumberFormat="0" applyFill="0" applyAlignment="0" applyProtection="0"/>
    <xf numFmtId="0" fontId="10" fillId="0" borderId="21" applyNumberFormat="0" applyFill="0" applyAlignment="0" applyProtection="0"/>
  </cellStyleXfs>
  <cellXfs count="118">
    <xf numFmtId="0" fontId="0" fillId="0" borderId="0" xfId="0"/>
    <xf numFmtId="0" fontId="0" fillId="2" borderId="0" xfId="0" applyFill="1"/>
    <xf numFmtId="0" fontId="0" fillId="3" borderId="0" xfId="0" applyFill="1"/>
    <xf numFmtId="11" fontId="9" fillId="3" borderId="0" xfId="2" applyNumberFormat="1" applyFont="1" applyFill="1"/>
    <xf numFmtId="11" fontId="9" fillId="4" borderId="0" xfId="2" applyNumberFormat="1" applyFont="1" applyFill="1"/>
    <xf numFmtId="0" fontId="3" fillId="0" borderId="0" xfId="0" applyFont="1"/>
    <xf numFmtId="165" fontId="0" fillId="2" borderId="0" xfId="0" applyNumberFormat="1" applyFill="1"/>
    <xf numFmtId="0" fontId="2" fillId="0" borderId="0" xfId="0" applyFont="1"/>
    <xf numFmtId="0" fontId="4" fillId="0" borderId="0" xfId="0" applyFont="1"/>
    <xf numFmtId="166" fontId="0" fillId="2" borderId="0" xfId="0" applyNumberFormat="1" applyFill="1"/>
    <xf numFmtId="0" fontId="0" fillId="0" borderId="0" xfId="0" quotePrefix="1"/>
    <xf numFmtId="1" fontId="0" fillId="0" borderId="0" xfId="0" applyNumberFormat="1"/>
    <xf numFmtId="11" fontId="0" fillId="0" borderId="0" xfId="0" applyNumberFormat="1"/>
    <xf numFmtId="0" fontId="5" fillId="0" borderId="0" xfId="0" applyFont="1"/>
    <xf numFmtId="0" fontId="6" fillId="0" borderId="0" xfId="0" applyFont="1"/>
    <xf numFmtId="168" fontId="0" fillId="6" borderId="0" xfId="0" applyNumberFormat="1" applyFill="1"/>
    <xf numFmtId="168" fontId="0" fillId="2" borderId="0" xfId="0" applyNumberFormat="1" applyFill="1"/>
    <xf numFmtId="0" fontId="0" fillId="0" borderId="0" xfId="0" applyFill="1"/>
    <xf numFmtId="2" fontId="9" fillId="3" borderId="0" xfId="2" applyNumberFormat="1" applyFont="1" applyFill="1"/>
    <xf numFmtId="2" fontId="0" fillId="2" borderId="0" xfId="0" applyNumberFormat="1" applyFill="1"/>
    <xf numFmtId="169" fontId="0" fillId="0" borderId="0" xfId="0" applyNumberFormat="1" applyFill="1"/>
    <xf numFmtId="11" fontId="1" fillId="4" borderId="0" xfId="2" applyNumberFormat="1" applyFont="1" applyFill="1"/>
    <xf numFmtId="11" fontId="9" fillId="0" borderId="0" xfId="2" applyNumberFormat="1" applyFont="1" applyFill="1"/>
    <xf numFmtId="2" fontId="1" fillId="6" borderId="0" xfId="2" applyNumberFormat="1" applyFont="1" applyFill="1"/>
    <xf numFmtId="166" fontId="9" fillId="6" borderId="0" xfId="2" applyNumberFormat="1" applyFont="1" applyFill="1"/>
    <xf numFmtId="0" fontId="15" fillId="0" borderId="0" xfId="0" applyFont="1"/>
    <xf numFmtId="11" fontId="16" fillId="0" borderId="0" xfId="0" applyNumberFormat="1" applyFont="1"/>
    <xf numFmtId="0" fontId="0" fillId="6" borderId="0" xfId="0" applyFill="1"/>
    <xf numFmtId="0" fontId="0" fillId="6" borderId="0" xfId="0" quotePrefix="1" applyFill="1"/>
    <xf numFmtId="11" fontId="0" fillId="6" borderId="0" xfId="0" applyNumberFormat="1" applyFill="1"/>
    <xf numFmtId="2" fontId="0" fillId="6" borderId="0" xfId="0" applyNumberFormat="1" applyFill="1"/>
    <xf numFmtId="169" fontId="0" fillId="3" borderId="0" xfId="0" applyNumberFormat="1" applyFill="1"/>
    <xf numFmtId="168" fontId="9" fillId="6" borderId="0" xfId="2" applyNumberFormat="1" applyFont="1" applyFill="1"/>
    <xf numFmtId="2" fontId="9" fillId="6" borderId="0" xfId="2" applyNumberFormat="1" applyFont="1" applyFill="1"/>
    <xf numFmtId="11" fontId="9" fillId="2" borderId="0" xfId="2" applyNumberFormat="1" applyFont="1" applyFill="1"/>
    <xf numFmtId="2" fontId="9" fillId="2" borderId="0" xfId="2" applyNumberFormat="1" applyFont="1" applyFill="1"/>
    <xf numFmtId="0" fontId="0" fillId="0" borderId="0" xfId="0" applyProtection="1">
      <protection locked="0"/>
    </xf>
    <xf numFmtId="0" fontId="14" fillId="8" borderId="2" xfId="0" applyFont="1" applyFill="1" applyBorder="1" applyProtection="1">
      <protection locked="0"/>
    </xf>
    <xf numFmtId="0" fontId="14" fillId="8" borderId="0" xfId="0" applyFont="1" applyFill="1" applyBorder="1" applyProtection="1">
      <protection locked="0"/>
    </xf>
    <xf numFmtId="0" fontId="14" fillId="8" borderId="12" xfId="0" applyFont="1" applyFill="1" applyBorder="1" applyProtection="1">
      <protection locked="0"/>
    </xf>
    <xf numFmtId="166" fontId="0" fillId="3" borderId="0" xfId="0" applyNumberFormat="1" applyFill="1" applyProtection="1">
      <protection locked="0"/>
    </xf>
    <xf numFmtId="167" fontId="0" fillId="0" borderId="0" xfId="0" applyNumberFormat="1" applyProtection="1">
      <protection locked="0"/>
    </xf>
    <xf numFmtId="168" fontId="0" fillId="3" borderId="0" xfId="0" applyNumberFormat="1" applyFill="1" applyProtection="1">
      <protection locked="0"/>
    </xf>
    <xf numFmtId="2" fontId="0" fillId="3" borderId="0" xfId="0" applyNumberFormat="1" applyFill="1" applyProtection="1">
      <protection locked="0"/>
    </xf>
    <xf numFmtId="172" fontId="0" fillId="3" borderId="0" xfId="1" applyNumberFormat="1" applyFont="1" applyFill="1" applyProtection="1">
      <protection locked="0"/>
    </xf>
    <xf numFmtId="166" fontId="19" fillId="0" borderId="0" xfId="1" applyNumberFormat="1" applyFont="1" applyFill="1" applyProtection="1">
      <protection locked="0"/>
    </xf>
    <xf numFmtId="166" fontId="0" fillId="2" borderId="0" xfId="0" applyNumberFormat="1" applyFill="1" applyProtection="1">
      <protection locked="0"/>
    </xf>
    <xf numFmtId="0" fontId="0" fillId="2" borderId="0" xfId="0" applyFill="1" applyProtection="1">
      <protection locked="0"/>
    </xf>
    <xf numFmtId="0" fontId="0" fillId="0" borderId="0" xfId="0" applyFill="1" applyProtection="1">
      <protection locked="0"/>
    </xf>
    <xf numFmtId="171" fontId="19" fillId="0" borderId="0" xfId="1" applyNumberFormat="1" applyFont="1" applyFill="1" applyProtection="1">
      <protection locked="0"/>
    </xf>
    <xf numFmtId="11" fontId="0" fillId="2" borderId="0" xfId="0" applyNumberFormat="1" applyFill="1" applyProtection="1">
      <protection locked="0"/>
    </xf>
    <xf numFmtId="0" fontId="0" fillId="6" borderId="8" xfId="0" applyFill="1" applyBorder="1" applyAlignment="1" applyProtection="1">
      <alignment horizontal="center"/>
      <protection locked="0"/>
    </xf>
    <xf numFmtId="0" fontId="0" fillId="4" borderId="8" xfId="0" applyFill="1" applyBorder="1" applyAlignment="1" applyProtection="1">
      <alignment horizontal="center"/>
      <protection locked="0"/>
    </xf>
    <xf numFmtId="0" fontId="21" fillId="0" borderId="0" xfId="0" applyFont="1" applyFill="1" applyBorder="1" applyProtection="1">
      <protection locked="0"/>
    </xf>
    <xf numFmtId="167" fontId="0" fillId="0" borderId="0" xfId="0" applyNumberFormat="1" applyProtection="1"/>
    <xf numFmtId="167" fontId="0" fillId="5" borderId="0" xfId="0" applyNumberFormat="1" applyFill="1" applyProtection="1"/>
    <xf numFmtId="166" fontId="0" fillId="2" borderId="0" xfId="0" applyNumberFormat="1" applyFill="1" applyProtection="1"/>
    <xf numFmtId="167" fontId="0" fillId="0" borderId="0" xfId="0" applyNumberFormat="1" applyFill="1" applyProtection="1"/>
    <xf numFmtId="170" fontId="0" fillId="2" borderId="0" xfId="0" applyNumberFormat="1" applyFill="1" applyProtection="1"/>
    <xf numFmtId="0" fontId="0" fillId="0" borderId="0" xfId="0" applyProtection="1"/>
    <xf numFmtId="166" fontId="0" fillId="0" borderId="0" xfId="0" applyNumberFormat="1" applyProtection="1"/>
    <xf numFmtId="0" fontId="0" fillId="2" borderId="0" xfId="0" applyFill="1" applyProtection="1"/>
    <xf numFmtId="166" fontId="0" fillId="0" borderId="0" xfId="0" applyNumberFormat="1" applyFill="1" applyProtection="1"/>
    <xf numFmtId="168" fontId="0" fillId="0" borderId="0" xfId="0" applyNumberFormat="1" applyProtection="1"/>
    <xf numFmtId="166" fontId="0" fillId="5" borderId="0" xfId="0" applyNumberFormat="1" applyFill="1" applyProtection="1"/>
    <xf numFmtId="168" fontId="0" fillId="2" borderId="0" xfId="0" applyNumberFormat="1" applyFill="1" applyProtection="1"/>
    <xf numFmtId="168" fontId="0" fillId="0" borderId="0" xfId="0" applyNumberFormat="1" applyFill="1" applyProtection="1"/>
    <xf numFmtId="0" fontId="0" fillId="0" borderId="0" xfId="0" applyFill="1" applyProtection="1"/>
    <xf numFmtId="166" fontId="19" fillId="0" borderId="0" xfId="1" applyNumberFormat="1" applyFont="1" applyFill="1" applyProtection="1"/>
    <xf numFmtId="167" fontId="12" fillId="0" borderId="0" xfId="0" applyNumberFormat="1" applyFont="1" applyProtection="1"/>
    <xf numFmtId="0" fontId="14" fillId="8" borderId="1" xfId="0" applyFont="1" applyFill="1" applyBorder="1" applyProtection="1">
      <protection locked="0"/>
    </xf>
    <xf numFmtId="0" fontId="0" fillId="7" borderId="0" xfId="0" applyFill="1" applyProtection="1">
      <protection locked="0"/>
    </xf>
    <xf numFmtId="166" fontId="14" fillId="8" borderId="2" xfId="0" applyNumberFormat="1" applyFont="1" applyFill="1" applyBorder="1" applyProtection="1">
      <protection locked="0"/>
    </xf>
    <xf numFmtId="0" fontId="18" fillId="4" borderId="2" xfId="0" applyFont="1" applyFill="1" applyBorder="1" applyProtection="1">
      <protection locked="0"/>
    </xf>
    <xf numFmtId="0" fontId="13" fillId="8" borderId="3" xfId="0" applyFont="1" applyFill="1" applyBorder="1" applyProtection="1">
      <protection locked="0"/>
    </xf>
    <xf numFmtId="0" fontId="43" fillId="8" borderId="6" xfId="0" applyFont="1" applyFill="1" applyBorder="1" applyProtection="1">
      <protection locked="0"/>
    </xf>
    <xf numFmtId="168" fontId="13" fillId="8" borderId="9" xfId="0" applyNumberFormat="1" applyFont="1" applyFill="1" applyBorder="1" applyProtection="1">
      <protection locked="0"/>
    </xf>
    <xf numFmtId="168" fontId="13" fillId="8" borderId="0" xfId="0" applyNumberFormat="1" applyFont="1" applyFill="1" applyBorder="1" applyProtection="1">
      <protection locked="0"/>
    </xf>
    <xf numFmtId="168" fontId="13" fillId="8" borderId="10" xfId="0" applyNumberFormat="1" applyFont="1" applyFill="1" applyBorder="1" applyProtection="1">
      <protection locked="0"/>
    </xf>
    <xf numFmtId="168" fontId="13" fillId="8" borderId="6" xfId="0" applyNumberFormat="1" applyFont="1" applyFill="1" applyBorder="1" applyAlignment="1" applyProtection="1">
      <protection locked="0"/>
    </xf>
    <xf numFmtId="168" fontId="13" fillId="8" borderId="6" xfId="0" applyNumberFormat="1" applyFont="1" applyFill="1" applyBorder="1" applyProtection="1">
      <protection locked="0"/>
    </xf>
    <xf numFmtId="168" fontId="13" fillId="8" borderId="7" xfId="0" applyNumberFormat="1" applyFont="1" applyFill="1" applyBorder="1" applyProtection="1">
      <protection locked="0"/>
    </xf>
    <xf numFmtId="168" fontId="0" fillId="7" borderId="0" xfId="0" applyNumberFormat="1" applyFill="1" applyProtection="1">
      <protection locked="0"/>
    </xf>
    <xf numFmtId="0" fontId="13" fillId="8" borderId="4" xfId="0" applyFont="1" applyFill="1" applyBorder="1" applyProtection="1">
      <protection locked="0"/>
    </xf>
    <xf numFmtId="0" fontId="43" fillId="8" borderId="7" xfId="0" applyFont="1" applyFill="1" applyBorder="1" applyProtection="1">
      <protection locked="0"/>
    </xf>
    <xf numFmtId="168" fontId="13" fillId="4" borderId="10" xfId="0" applyNumberFormat="1" applyFont="1" applyFill="1" applyBorder="1" applyProtection="1">
      <protection locked="0"/>
    </xf>
    <xf numFmtId="168" fontId="13" fillId="8" borderId="7" xfId="0" applyNumberFormat="1" applyFont="1" applyFill="1" applyBorder="1" applyAlignment="1" applyProtection="1">
      <protection locked="0"/>
    </xf>
    <xf numFmtId="0" fontId="13" fillId="8" borderId="7" xfId="0" applyFont="1" applyFill="1" applyBorder="1" applyProtection="1">
      <protection locked="0"/>
    </xf>
    <xf numFmtId="0" fontId="0" fillId="7" borderId="0" xfId="0" applyFill="1" applyAlignment="1" applyProtection="1">
      <protection locked="0"/>
    </xf>
    <xf numFmtId="0" fontId="20" fillId="7" borderId="0" xfId="0" applyFont="1" applyFill="1" applyProtection="1">
      <protection locked="0"/>
    </xf>
    <xf numFmtId="0" fontId="42" fillId="7" borderId="0" xfId="0" applyFont="1" applyFill="1" applyProtection="1">
      <protection locked="0"/>
    </xf>
    <xf numFmtId="168" fontId="14" fillId="6" borderId="11" xfId="0" applyNumberFormat="1" applyFont="1" applyFill="1" applyBorder="1" applyProtection="1"/>
    <xf numFmtId="0" fontId="0" fillId="7" borderId="0" xfId="0" applyFill="1" applyProtection="1"/>
    <xf numFmtId="168" fontId="0" fillId="7" borderId="0" xfId="0" applyNumberFormat="1" applyFill="1" applyProtection="1"/>
    <xf numFmtId="1" fontId="0" fillId="7" borderId="0" xfId="0" applyNumberFormat="1" applyFill="1" applyProtection="1"/>
    <xf numFmtId="0" fontId="0" fillId="7" borderId="0" xfId="0" applyFill="1" applyAlignment="1" applyProtection="1">
      <alignment vertical="center"/>
      <protection locked="0"/>
    </xf>
    <xf numFmtId="168" fontId="14" fillId="32" borderId="11" xfId="0" applyNumberFormat="1" applyFont="1" applyFill="1" applyBorder="1" applyProtection="1"/>
    <xf numFmtId="168" fontId="13" fillId="4" borderId="7" xfId="0" applyNumberFormat="1" applyFont="1" applyFill="1" applyBorder="1" applyProtection="1">
      <protection locked="0"/>
    </xf>
    <xf numFmtId="0" fontId="18" fillId="6" borderId="6" xfId="0" applyFont="1" applyFill="1" applyBorder="1" applyAlignment="1" applyProtection="1">
      <alignment horizontal="center"/>
      <protection locked="0"/>
    </xf>
    <xf numFmtId="168" fontId="0" fillId="2" borderId="0" xfId="0" applyNumberFormat="1" applyFill="1" applyAlignment="1" applyProtection="1">
      <alignment horizontal="right"/>
    </xf>
    <xf numFmtId="2" fontId="0" fillId="2" borderId="0" xfId="0" applyNumberFormat="1" applyFill="1" applyProtection="1"/>
    <xf numFmtId="0" fontId="14" fillId="8" borderId="2" xfId="0" applyFont="1" applyFill="1" applyBorder="1" applyProtection="1"/>
    <xf numFmtId="0" fontId="8" fillId="0" borderId="0" xfId="0" applyFont="1" applyProtection="1"/>
    <xf numFmtId="0" fontId="44" fillId="33" borderId="2" xfId="0" applyFont="1" applyFill="1" applyBorder="1" applyProtection="1">
      <protection locked="0"/>
    </xf>
    <xf numFmtId="0" fontId="0" fillId="33" borderId="0" xfId="0" applyFill="1" applyProtection="1"/>
    <xf numFmtId="168" fontId="14" fillId="6" borderId="11" xfId="0" applyNumberFormat="1" applyFont="1" applyFill="1" applyBorder="1" applyProtection="1">
      <protection locked="0"/>
    </xf>
    <xf numFmtId="0" fontId="18" fillId="4" borderId="4" xfId="0" applyFont="1" applyFill="1" applyBorder="1" applyProtection="1"/>
    <xf numFmtId="0" fontId="18" fillId="4" borderId="8" xfId="0" applyFont="1" applyFill="1" applyBorder="1" applyProtection="1"/>
    <xf numFmtId="0" fontId="10" fillId="0" borderId="0" xfId="0" applyFont="1" applyAlignment="1" applyProtection="1">
      <alignment horizontal="center"/>
    </xf>
    <xf numFmtId="0" fontId="0" fillId="0" borderId="0" xfId="0" applyAlignment="1" applyProtection="1">
      <alignment horizontal="center"/>
    </xf>
    <xf numFmtId="0" fontId="18" fillId="6" borderId="13" xfId="0" applyFont="1" applyFill="1" applyBorder="1" applyAlignment="1" applyProtection="1"/>
    <xf numFmtId="0" fontId="18" fillId="6" borderId="14" xfId="0" applyFont="1" applyFill="1" applyBorder="1" applyAlignment="1" applyProtection="1"/>
    <xf numFmtId="0" fontId="14" fillId="8" borderId="3" xfId="0" applyFont="1" applyFill="1" applyBorder="1" applyAlignment="1" applyProtection="1">
      <protection locked="0"/>
    </xf>
    <xf numFmtId="0" fontId="14" fillId="8" borderId="5" xfId="0" applyFont="1" applyFill="1" applyBorder="1" applyAlignment="1" applyProtection="1">
      <protection locked="0"/>
    </xf>
    <xf numFmtId="0" fontId="14" fillId="8" borderId="6" xfId="0" applyFont="1" applyFill="1" applyBorder="1" applyAlignment="1" applyProtection="1">
      <protection locked="0"/>
    </xf>
    <xf numFmtId="0" fontId="14" fillId="8" borderId="8" xfId="0" applyFont="1" applyFill="1" applyBorder="1" applyAlignment="1" applyProtection="1">
      <protection locked="0"/>
    </xf>
    <xf numFmtId="0" fontId="17" fillId="8" borderId="1" xfId="0" applyFont="1" applyFill="1" applyBorder="1" applyAlignment="1" applyProtection="1">
      <alignment horizontal="center"/>
    </xf>
    <xf numFmtId="0" fontId="14" fillId="8" borderId="1" xfId="0" applyFont="1" applyFill="1" applyBorder="1" applyAlignment="1" applyProtection="1">
      <alignment horizontal="center"/>
    </xf>
  </cellXfs>
  <cellStyles count="124">
    <cellStyle name="_01Terriambien 2007(2)" xfId="4"/>
    <cellStyle name="_01Terriambien 2007(2)_Extracción de agua Estructura y Dinámica" xfId="5"/>
    <cellStyle name="_01Terriambien 2007(2)_Mapa Cuencas Grises 2007" xfId="6"/>
    <cellStyle name="_01Terriambien 2007(2)_Superficie dañada Variación" xfId="7"/>
    <cellStyle name="_Dinámica de Ozono 07" xfId="8"/>
    <cellStyle name="_Dinámica de Ozono 07_Extracción de agua Estructura y Dinámica" xfId="9"/>
    <cellStyle name="_Dinámica de Ozono 07_Mapa Cuencas Grises 2007" xfId="10"/>
    <cellStyle name="_Dinámica de Ozono 07_Superficie dañada Variación" xfId="11"/>
    <cellStyle name="_Energía Renovable Anuario 07" xfId="12"/>
    <cellStyle name="_Energía Renovable Anuario 07_Extracción de agua Estructura y Dinámica" xfId="13"/>
    <cellStyle name="_Energía Renovable Anuario 07_Mapa Cuencas Grises 2007" xfId="14"/>
    <cellStyle name="_Energía Renovable Anuario 07_Superficie dañada Variación" xfId="15"/>
    <cellStyle name="_Escturctura y Dinámica, Frentes y Huracanes" xfId="16"/>
    <cellStyle name="_Escturctura y Dinámica, Frentes y Huracanes_Extracción de agua Estructura y Dinámica" xfId="17"/>
    <cellStyle name="_Escturctura y Dinámica, Frentes y Huracanes_Mapa Cuencas Grises 2007" xfId="18"/>
    <cellStyle name="_Escturctura y Dinámica, Frentes y Huracanes_Superficie dañada Variación" xfId="19"/>
    <cellStyle name="_Ozono en PAO Anuario" xfId="20"/>
    <cellStyle name="_Ozono en PAO Anuario_Extracción de agua Estructura y Dinámica" xfId="21"/>
    <cellStyle name="_Ozono en PAO Anuario_Mapa Cuencas Grises 2007" xfId="22"/>
    <cellStyle name="_Ozono en PAO Anuario_Superficie dañada Variación" xfId="23"/>
    <cellStyle name="_Resiudos Anuario" xfId="24"/>
    <cellStyle name="_Resiudos Anuario_Extracción de agua Estructura y Dinámica" xfId="25"/>
    <cellStyle name="_Resiudos Anuario_Mapa Cuencas Grises 2007" xfId="26"/>
    <cellStyle name="_Resiudos Anuario_Superficie dañada Variación" xfId="27"/>
    <cellStyle name="20% - Accent1" xfId="28"/>
    <cellStyle name="20% - Accent2" xfId="29"/>
    <cellStyle name="20% - Accent3" xfId="30"/>
    <cellStyle name="20% - Accent4" xfId="31"/>
    <cellStyle name="20% - Accent5" xfId="32"/>
    <cellStyle name="20% - Accent6" xfId="33"/>
    <cellStyle name="20% - Énfasis1 2" xfId="34"/>
    <cellStyle name="20% - Énfasis2 2" xfId="35"/>
    <cellStyle name="20% - Énfasis3 2" xfId="36"/>
    <cellStyle name="20% - Énfasis4 2" xfId="37"/>
    <cellStyle name="20% - Énfasis5 2" xfId="38"/>
    <cellStyle name="20% - Énfasis6 2" xfId="39"/>
    <cellStyle name="40% - Accent1" xfId="40"/>
    <cellStyle name="40% - Accent2" xfId="41"/>
    <cellStyle name="40% - Accent3" xfId="42"/>
    <cellStyle name="40% - Accent4" xfId="43"/>
    <cellStyle name="40% - Accent5" xfId="44"/>
    <cellStyle name="40% - Accent6" xfId="45"/>
    <cellStyle name="40% - Énfasis1 2" xfId="46"/>
    <cellStyle name="40% - Énfasis2 2" xfId="47"/>
    <cellStyle name="40% - Énfasis3 2" xfId="48"/>
    <cellStyle name="40% - Énfasis4 2" xfId="49"/>
    <cellStyle name="40% - Énfasis5 2" xfId="50"/>
    <cellStyle name="40% - Énfasis6 2" xfId="51"/>
    <cellStyle name="60% - Accent1" xfId="52"/>
    <cellStyle name="60% - Accent2" xfId="53"/>
    <cellStyle name="60% - Accent3" xfId="54"/>
    <cellStyle name="60% - Accent4" xfId="55"/>
    <cellStyle name="60% - Accent5" xfId="56"/>
    <cellStyle name="60% - Accent6" xfId="57"/>
    <cellStyle name="60% - Énfasis1 2" xfId="58"/>
    <cellStyle name="60% - Énfasis2 2" xfId="59"/>
    <cellStyle name="60% - Énfasis3 2" xfId="60"/>
    <cellStyle name="60% - Énfasis4 2" xfId="61"/>
    <cellStyle name="60% - Énfasis5 2" xfId="62"/>
    <cellStyle name="60% - Énfasis6 2" xfId="63"/>
    <cellStyle name="Accent1" xfId="64"/>
    <cellStyle name="Accent2" xfId="65"/>
    <cellStyle name="Accent3" xfId="66"/>
    <cellStyle name="Accent4" xfId="67"/>
    <cellStyle name="Accent5" xfId="68"/>
    <cellStyle name="Accent6" xfId="69"/>
    <cellStyle name="Bad" xfId="70"/>
    <cellStyle name="Buena 2" xfId="71"/>
    <cellStyle name="Calculation" xfId="72"/>
    <cellStyle name="Cálculo 2" xfId="73"/>
    <cellStyle name="Comma 2" xfId="74"/>
    <cellStyle name="Énfasis1 2" xfId="75"/>
    <cellStyle name="Énfasis2 2" xfId="76"/>
    <cellStyle name="Énfasis3 2" xfId="77"/>
    <cellStyle name="Énfasis4 2" xfId="78"/>
    <cellStyle name="Énfasis5 2" xfId="79"/>
    <cellStyle name="Énfasis6 2" xfId="80"/>
    <cellStyle name="Estilo 1" xfId="81"/>
    <cellStyle name="Euro" xfId="82"/>
    <cellStyle name="Explanatory Text" xfId="83"/>
    <cellStyle name="Heading 1" xfId="84"/>
    <cellStyle name="Heading 2" xfId="85"/>
    <cellStyle name="Heading 3" xfId="86"/>
    <cellStyle name="Hipervínculo 2" xfId="87"/>
    <cellStyle name="Hipervínculo 3" xfId="88"/>
    <cellStyle name="Hyperlink 2" xfId="89"/>
    <cellStyle name="Incorrecto 2" xfId="90"/>
    <cellStyle name="Millares 2" xfId="91"/>
    <cellStyle name="Moeda" xfId="2" builtinId="4"/>
    <cellStyle name="Neutral 2" xfId="92"/>
    <cellStyle name="Normal" xfId="0" builtinId="0"/>
    <cellStyle name="Normal 10" xfId="93"/>
    <cellStyle name="Normal 11" xfId="94"/>
    <cellStyle name="Normal 12" xfId="95"/>
    <cellStyle name="Normal 13" xfId="96"/>
    <cellStyle name="Normal 14" xfId="97"/>
    <cellStyle name="Normal 15" xfId="98"/>
    <cellStyle name="Normal 15 2" xfId="99"/>
    <cellStyle name="Normal 16" xfId="100"/>
    <cellStyle name="Normal 17" xfId="101"/>
    <cellStyle name="Normal 18" xfId="3"/>
    <cellStyle name="Normal 19" xfId="102"/>
    <cellStyle name="Normal 2" xfId="103"/>
    <cellStyle name="Normal 2 2" xfId="104"/>
    <cellStyle name="Normal 2_Mapa Cuencas Grises 2007" xfId="105"/>
    <cellStyle name="Normal 3" xfId="106"/>
    <cellStyle name="Normal 3 2" xfId="107"/>
    <cellStyle name="Normal 4" xfId="108"/>
    <cellStyle name="Normal 4 2" xfId="109"/>
    <cellStyle name="Normal 5" xfId="110"/>
    <cellStyle name="Normal 6" xfId="111"/>
    <cellStyle name="Normal 7" xfId="112"/>
    <cellStyle name="Normal 8" xfId="113"/>
    <cellStyle name="Normal 9" xfId="114"/>
    <cellStyle name="Output" xfId="115"/>
    <cellStyle name="Percent 2" xfId="116"/>
    <cellStyle name="Salida 2" xfId="117"/>
    <cellStyle name="Texto explicativo 2" xfId="118"/>
    <cellStyle name="Title" xfId="119"/>
    <cellStyle name="Título 2 2" xfId="121"/>
    <cellStyle name="Título 3 2" xfId="122"/>
    <cellStyle name="Título 4" xfId="120"/>
    <cellStyle name="Total 2" xfId="123"/>
    <cellStyle name="Vírgula" xfId="1" builtinId="3"/>
  </cellStyles>
  <dxfs count="0"/>
  <tableStyles count="0" defaultTableStyle="TableStyleMedium2" defaultPivotStyle="PivotStyleLight16"/>
  <colors>
    <mruColors>
      <color rgb="FF009900"/>
      <color rgb="FFFFD84B"/>
      <color rgb="FFFFFF4B"/>
      <color rgb="FF003300"/>
      <color rgb="FF4DECFD"/>
      <color rgb="FF03D7E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microsoft.com/office/2006/relationships/vbaProject" Target="vbaProject.bin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0" b="0"/>
            </a:pPr>
            <a:r>
              <a:rPr lang="en-US" sz="2000" b="0"/>
              <a:t>Company with better  sustainability performance (CORSAN )</a:t>
            </a:r>
          </a:p>
        </c:rich>
      </c:tx>
      <c:layout>
        <c:manualLayout>
          <c:xMode val="edge"/>
          <c:yMode val="edge"/>
          <c:x val="0.11809392611701192"/>
          <c:y val="2.924559348248237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radarChart>
        <c:radarStyle val="marker"/>
        <c:varyColors val="0"/>
        <c:ser>
          <c:idx val="0"/>
          <c:order val="0"/>
          <c:tx>
            <c:v>Resultados x Sector</c:v>
          </c:tx>
          <c:dLbls>
            <c:dLbl>
              <c:idx val="0"/>
              <c:layout>
                <c:manualLayout>
                  <c:x val="3.7704844005083192E-2"/>
                  <c:y val="3.984979027748353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pt-B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8491-46FA-9D60-311D5D108E9E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6.6336220589040635E-3"/>
                  <c:y val="-3.352861128282903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pt-B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8491-46FA-9D60-311D5D108E9E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4.5726776632788672E-2"/>
                  <c:y val="-3.080547022389267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pt-B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8491-46FA-9D60-311D5D108E9E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4.16249275213771E-2"/>
                  <c:y val="-1.910648833275591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pt-B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8491-46FA-9D60-311D5D108E9E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1.9784101091800909E-2"/>
                  <c:y val="4.469612567983234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pt-B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8491-46FA-9D60-311D5D108E9E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(Visualization!$AD$1,Visualization!$AI$1,Visualization!$AN$1,Visualization!$T$1,Visualization!$Y$1)</c:f>
              <c:strCache>
                <c:ptCount val="5"/>
                <c:pt idx="0">
                  <c:v>PRODUCTION SYSTEM (Sector 3)</c:v>
                </c:pt>
                <c:pt idx="1">
                  <c:v>SOCIETY AS PROVIDER  (Sector 4)</c:v>
                </c:pt>
                <c:pt idx="2">
                  <c:v>SOCIETY AS RECEIVER (Sector 5)</c:v>
                </c:pt>
                <c:pt idx="3">
                  <c:v>ENVIRONMENT AS PROVIDER ( Sector 1)</c:v>
                </c:pt>
                <c:pt idx="4">
                  <c:v>ENVIRONMENT AS RECEIVER (Sector 2)</c:v>
                </c:pt>
              </c:strCache>
            </c:strRef>
          </c:cat>
          <c:val>
            <c:numRef>
              <c:f>(Visualization!$AH$3,Visualization!$AM$3,Visualization!$AR$3,Visualization!$X$3,Visualization!$AC$3)</c:f>
              <c:numCache>
                <c:formatCode>0.000</c:formatCode>
                <c:ptCount val="5"/>
                <c:pt idx="0">
                  <c:v>9.9369476823400506E-3</c:v>
                </c:pt>
                <c:pt idx="1">
                  <c:v>2.3575389996825211</c:v>
                </c:pt>
                <c:pt idx="2">
                  <c:v>1.9515127857972074</c:v>
                </c:pt>
                <c:pt idx="3">
                  <c:v>1.8650158800681473</c:v>
                </c:pt>
                <c:pt idx="4">
                  <c:v>1.3143563611864757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8491-46FA-9D60-311D5D108E9E}"/>
            </c:ext>
          </c:extLst>
        </c:ser>
        <c:ser>
          <c:idx val="1"/>
          <c:order val="1"/>
          <c:tx>
            <c:v>Metas x Sector</c:v>
          </c:tx>
          <c:spPr>
            <a:ln>
              <a:prstDash val="sysDot"/>
            </a:ln>
          </c:spPr>
          <c:dLbls>
            <c:dLbl>
              <c:idx val="0"/>
              <c:layout>
                <c:manualLayout>
                  <c:x val="3.8994643179978146E-2"/>
                  <c:y val="4.86296138199335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3FD5-4BDC-B845-7785E13E0F20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7.9594616764270529E-2"/>
                  <c:y val="5.38325558273275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3FD5-4BDC-B845-7785E13E0F20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3.1195714543982519E-3"/>
                  <c:y val="2.7486303463440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3FD5-4BDC-B845-7785E13E0F20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(Visualization!$AH$24,Visualization!$AM$24,Visualization!$AR$24,Visualization!$X$24,Visualization!$AC$24)</c:f>
              <c:numCache>
                <c:formatCode>0.000</c:formatCode>
                <c:ptCount val="5"/>
                <c:pt idx="0">
                  <c:v>9.3836465542768241</c:v>
                </c:pt>
                <c:pt idx="1">
                  <c:v>5.8153066859835274</c:v>
                </c:pt>
                <c:pt idx="2">
                  <c:v>3.2946039820011945</c:v>
                </c:pt>
                <c:pt idx="3">
                  <c:v>5.3851074723398487</c:v>
                </c:pt>
                <c:pt idx="4">
                  <c:v>3.9025511812087776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8491-46FA-9D60-311D5D108E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601410832"/>
        <c:axId val="-601410288"/>
      </c:radarChart>
      <c:catAx>
        <c:axId val="-601410832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pt-BR"/>
          </a:p>
        </c:txPr>
        <c:crossAx val="-601410288"/>
        <c:crosses val="autoZero"/>
        <c:auto val="0"/>
        <c:lblAlgn val="ctr"/>
        <c:lblOffset val="100"/>
        <c:noMultiLvlLbl val="0"/>
      </c:catAx>
      <c:valAx>
        <c:axId val="-601410288"/>
        <c:scaling>
          <c:logBase val="10"/>
          <c:orientation val="minMax"/>
        </c:scaling>
        <c:delete val="0"/>
        <c:axPos val="l"/>
        <c:majorGridlines/>
        <c:numFmt formatCode="0.000" sourceLinked="1"/>
        <c:majorTickMark val="none"/>
        <c:minorTickMark val="none"/>
        <c:tickLblPos val="nextTo"/>
        <c:crossAx val="-60141083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3368337329737057"/>
          <c:y val="0.64517262716681745"/>
          <c:w val="0.20024875621890548"/>
          <c:h val="9.9337748344370855E-2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2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2000" b="0" i="0" u="none" strike="noStrike" baseline="0">
                <a:solidFill>
                  <a:schemeClr val="tx1"/>
                </a:solidFill>
              </a:rPr>
              <a:t>Company with lower sustainability performance (DESO )</a:t>
            </a:r>
            <a:endParaRPr lang="en-US" sz="2000" b="0">
              <a:solidFill>
                <a:schemeClr val="tx1"/>
              </a:solidFill>
              <a:effectLst/>
            </a:endParaRPr>
          </a:p>
        </c:rich>
      </c:tx>
      <c:layout>
        <c:manualLayout>
          <c:xMode val="edge"/>
          <c:yMode val="edge"/>
          <c:x val="0.18667168576809062"/>
          <c:y val="3.54734148197707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128991754583218"/>
          <c:y val="0.22852304392365161"/>
          <c:w val="0.42565048003591877"/>
          <c:h val="0.6774282217659684"/>
        </c:manualLayout>
      </c:layout>
      <c:radarChart>
        <c:radarStyle val="marker"/>
        <c:varyColors val="0"/>
        <c:ser>
          <c:idx val="0"/>
          <c:order val="0"/>
          <c:tx>
            <c:v>Resultados x Sector</c:v>
          </c:tx>
          <c:dLbls>
            <c:dLbl>
              <c:idx val="1"/>
              <c:layout>
                <c:manualLayout>
                  <c:x val="-9.9575341225223608E-3"/>
                  <c:y val="-1.563397940787431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pt-B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9685-444E-BBB1-080B6CD27937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1.6595890204203875E-2"/>
                  <c:y val="2.084530587716575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pt-B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9685-444E-BBB1-080B6CD27937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3.6913275821538164E-4"/>
                  <c:y val="-5.352637476039007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pt-B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9685-444E-BBB1-080B6CD27937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1.1617123142942724E-2"/>
                  <c:y val="-1.042265293858287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pt-B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9685-444E-BBB1-080B6CD27937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(Visualization!$AD$1,Visualization!$AI$1,Visualization!$AN$1,Visualization!$T$1,Visualization!$Y$1)</c:f>
              <c:strCache>
                <c:ptCount val="5"/>
                <c:pt idx="0">
                  <c:v>PRODUCTION SYSTEM (Sector 3)</c:v>
                </c:pt>
                <c:pt idx="1">
                  <c:v>SOCIETY AS PROVIDER  (Sector 4)</c:v>
                </c:pt>
                <c:pt idx="2">
                  <c:v>SOCIETY AS RECEIVER (Sector 5)</c:v>
                </c:pt>
                <c:pt idx="3">
                  <c:v>ENVIRONMENT AS PROVIDER ( Sector 1)</c:v>
                </c:pt>
                <c:pt idx="4">
                  <c:v>ENVIRONMENT AS RECEIVER (Sector 2)</c:v>
                </c:pt>
              </c:strCache>
            </c:strRef>
          </c:cat>
          <c:val>
            <c:numRef>
              <c:f>(Visualization!$AH$22,Visualization!$AM$22,Visualization!$AR$22,Visualization!$X$22,Visualization!$AC$22)</c:f>
              <c:numCache>
                <c:formatCode>0.000</c:formatCode>
                <c:ptCount val="5"/>
                <c:pt idx="0">
                  <c:v>8.2284067347711716</c:v>
                </c:pt>
                <c:pt idx="1">
                  <c:v>1.7410554012244752</c:v>
                </c:pt>
                <c:pt idx="2">
                  <c:v>1.6543991734762535</c:v>
                </c:pt>
                <c:pt idx="3">
                  <c:v>7.9741003560555974</c:v>
                </c:pt>
                <c:pt idx="4">
                  <c:v>4.5065540951765461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9685-444E-BBB1-080B6CD27937}"/>
            </c:ext>
          </c:extLst>
        </c:ser>
        <c:ser>
          <c:idx val="1"/>
          <c:order val="1"/>
          <c:tx>
            <c:v>Metas x Sector</c:v>
          </c:tx>
          <c:spPr>
            <a:ln>
              <a:prstDash val="sysDot"/>
            </a:ln>
          </c:spPr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(Visualization!$AH$24,Visualization!$AM$24,Visualization!$AR$24,Visualization!$X$24,Visualization!$AC$24)</c:f>
              <c:numCache>
                <c:formatCode>0.000</c:formatCode>
                <c:ptCount val="5"/>
                <c:pt idx="0">
                  <c:v>9.3836465542768241</c:v>
                </c:pt>
                <c:pt idx="1">
                  <c:v>5.8153066859835274</c:v>
                </c:pt>
                <c:pt idx="2">
                  <c:v>3.2946039820011945</c:v>
                </c:pt>
                <c:pt idx="3">
                  <c:v>5.3851074723398487</c:v>
                </c:pt>
                <c:pt idx="4">
                  <c:v>3.9025511812087776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9685-444E-BBB1-080B6CD279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601414096"/>
        <c:axId val="-601408656"/>
      </c:radarChart>
      <c:catAx>
        <c:axId val="-601414096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400" i="0"/>
            </a:pPr>
            <a:endParaRPr lang="pt-BR"/>
          </a:p>
        </c:txPr>
        <c:crossAx val="-601408656"/>
        <c:crosses val="autoZero"/>
        <c:auto val="0"/>
        <c:lblAlgn val="ctr"/>
        <c:lblOffset val="100"/>
        <c:noMultiLvlLbl val="0"/>
      </c:catAx>
      <c:valAx>
        <c:axId val="-601408656"/>
        <c:scaling>
          <c:logBase val="10"/>
          <c:orientation val="minMax"/>
        </c:scaling>
        <c:delete val="0"/>
        <c:axPos val="l"/>
        <c:majorGridlines/>
        <c:numFmt formatCode="0.000" sourceLinked="1"/>
        <c:majorTickMark val="none"/>
        <c:minorTickMark val="none"/>
        <c:tickLblPos val="nextTo"/>
        <c:crossAx val="-60141409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560450992503237"/>
          <c:y val="0.64786378053326077"/>
          <c:w val="0.20050453842709259"/>
          <c:h val="8.7893495734908123E-2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2400" b="0"/>
            </a:pPr>
            <a:r>
              <a:rPr lang="es-ES" sz="2400" b="0" i="0" u="none" strike="noStrike" baseline="0"/>
              <a:t>Ranking of sustainability performance of water and wastewater treatment companies in Brazil</a:t>
            </a:r>
            <a:endParaRPr lang="es-ES" sz="2400" b="0"/>
          </a:p>
        </c:rich>
      </c:tx>
      <c:layout/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541389254937014E-3"/>
          <c:y val="8.6550071849117019E-2"/>
          <c:w val="0.97574793282418648"/>
          <c:h val="0.8381437136660419"/>
        </c:manualLayout>
      </c:layout>
      <c:lineChart>
        <c:grouping val="standard"/>
        <c:varyColors val="0"/>
        <c:ser>
          <c:idx val="0"/>
          <c:order val="0"/>
          <c:tx>
            <c:strRef>
              <c:f>Visualization!$AV$3</c:f>
              <c:strCache>
                <c:ptCount val="1"/>
                <c:pt idx="0">
                  <c:v>CORSAN</c:v>
                </c:pt>
              </c:strCache>
            </c:strRef>
          </c:tx>
          <c:spPr>
            <a:ln w="12700"/>
          </c:spPr>
          <c:marker>
            <c:symbol val="circle"/>
            <c:size val="30"/>
            <c:spPr>
              <a:ln w="25400"/>
            </c:spPr>
          </c:marker>
          <c:dPt>
            <c:idx val="0"/>
            <c:marker>
              <c:symbol val="circle"/>
              <c:size val="35"/>
            </c:marker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A143-4400-B597-5E231FA28F28}"/>
              </c:ext>
            </c:extLst>
          </c:dPt>
          <c:dLbls>
            <c:dLbl>
              <c:idx val="0"/>
              <c:layout/>
              <c:dLblPos val="l"/>
              <c:showLegendKey val="0"/>
              <c:showVal val="0"/>
              <c:showCatName val="0"/>
              <c:showSerName val="1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A143-4400-B597-5E231FA28F2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fld id="{6E95C45C-7E6E-4F3B-9AFD-12EBDF2093A7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9380-47DA-840A-FE32AAC961DC}"/>
                </c:ex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fld id="{B04688AF-4BD0-4E88-A228-E2F47EBF5698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8D7F81A1-2064-4681-A24D-DB5DF0906CEC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fld id="{02473DDE-BD82-4C18-9F47-74D19602360E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5"/>
              <c:layout/>
              <c:tx>
                <c:rich>
                  <a:bodyPr/>
                  <a:lstStyle/>
                  <a:p>
                    <a:fld id="{6D66DEAA-2001-4904-864D-E49CA6EEC50F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/>
                </a:pPr>
                <a:endParaRPr lang="pt-BR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DataLabelsRange val="1"/>
                <c15:showLeaderLines val="1"/>
              </c:ext>
            </c:extLst>
          </c:dLbls>
          <c:cat>
            <c:strRef>
              <c:f>Visualization!$AW$2:$BB$2</c:f>
              <c:strCache>
                <c:ptCount val="6"/>
                <c:pt idx="0">
                  <c:v>WWT Company ordered</c:v>
                </c:pt>
                <c:pt idx="1">
                  <c:v>Sector 1</c:v>
                </c:pt>
                <c:pt idx="2">
                  <c:v>Sector 2</c:v>
                </c:pt>
                <c:pt idx="3">
                  <c:v>Sector 3</c:v>
                </c:pt>
                <c:pt idx="4">
                  <c:v>Sector 4</c:v>
                </c:pt>
                <c:pt idx="5">
                  <c:v>Sector 5</c:v>
                </c:pt>
              </c:strCache>
            </c:strRef>
          </c:cat>
          <c:val>
            <c:numRef>
              <c:f>Visualization!$AW$3:$BB$3</c:f>
              <c:numCache>
                <c:formatCode>0</c:formatCode>
                <c:ptCount val="6"/>
                <c:pt idx="0">
                  <c:v>1</c:v>
                </c:pt>
                <c:pt idx="1">
                  <c:v>8</c:v>
                </c:pt>
                <c:pt idx="2">
                  <c:v>12</c:v>
                </c:pt>
                <c:pt idx="3">
                  <c:v>1</c:v>
                </c:pt>
                <c:pt idx="4">
                  <c:v>7</c:v>
                </c:pt>
                <c:pt idx="5">
                  <c:v>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143-4400-B597-5E231FA28F28}"/>
            </c:ext>
            <c:ext xmlns:c15="http://schemas.microsoft.com/office/drawing/2012/chart" uri="{02D57815-91ED-43cb-92C2-25804820EDAC}">
              <c15:datalabelsRange>
                <c15:f>Visualization!$BC$3:$BH$3</c15:f>
                <c15:dlblRangeCache>
                  <c:ptCount val="6"/>
                  <c:pt idx="0">
                    <c:v> 1st</c:v>
                  </c:pt>
                  <c:pt idx="1">
                    <c:v> 8th</c:v>
                  </c:pt>
                  <c:pt idx="2">
                    <c:v> 12th</c:v>
                  </c:pt>
                  <c:pt idx="3">
                    <c:v> 1st</c:v>
                  </c:pt>
                  <c:pt idx="4">
                    <c:v> 7th</c:v>
                  </c:pt>
                  <c:pt idx="5">
                    <c:v> 6th</c:v>
                  </c:pt>
                </c15:dlblRangeCache>
              </c15:datalabelsRange>
            </c:ext>
          </c:extLst>
        </c:ser>
        <c:ser>
          <c:idx val="1"/>
          <c:order val="1"/>
          <c:tx>
            <c:strRef>
              <c:f>Visualization!$AV$4</c:f>
              <c:strCache>
                <c:ptCount val="1"/>
                <c:pt idx="0">
                  <c:v>CASAN</c:v>
                </c:pt>
              </c:strCache>
            </c:strRef>
          </c:tx>
          <c:spPr>
            <a:ln w="12700">
              <a:solidFill>
                <a:srgbClr val="FFC000"/>
              </a:solidFill>
            </a:ln>
          </c:spPr>
          <c:marker>
            <c:symbol val="circle"/>
            <c:size val="30"/>
            <c:spPr>
              <a:solidFill>
                <a:srgbClr val="FFD84B"/>
              </a:solidFill>
              <a:ln w="25400">
                <a:noFill/>
              </a:ln>
            </c:spPr>
          </c:marker>
          <c:dPt>
            <c:idx val="0"/>
            <c:marker>
              <c:symbol val="circle"/>
              <c:size val="35"/>
            </c:marker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A143-4400-B597-5E231FA28F28}"/>
              </c:ext>
            </c:extLst>
          </c:dPt>
          <c:dLbls>
            <c:dLbl>
              <c:idx val="0"/>
              <c:layout/>
              <c:dLblPos val="l"/>
              <c:showLegendKey val="0"/>
              <c:showVal val="0"/>
              <c:showCatName val="0"/>
              <c:showSerName val="1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A143-4400-B597-5E231FA28F2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fld id="{5C390783-7A3C-4E1B-B542-4D732FC8B2D0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9380-47DA-840A-FE32AAC961DC}"/>
                </c:ex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fld id="{DB0DB863-528A-4F88-8E67-BE03FC88A658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008FCF15-FFD3-47D5-BB32-9A63BBD7DC73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fld id="{E4CF26BA-4C55-4C4D-B3FD-EB6B67B3B67C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5"/>
              <c:layout/>
              <c:tx>
                <c:rich>
                  <a:bodyPr/>
                  <a:lstStyle/>
                  <a:p>
                    <a:fld id="{2B106D39-B882-4221-8EF3-FA9ECB0E1D2A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/>
                </a:pPr>
                <a:endParaRPr lang="pt-BR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DataLabelsRange val="1"/>
                <c15:showLeaderLines val="1"/>
              </c:ext>
            </c:extLst>
          </c:dLbls>
          <c:cat>
            <c:strRef>
              <c:f>Visualization!$AW$2:$BB$2</c:f>
              <c:strCache>
                <c:ptCount val="6"/>
                <c:pt idx="0">
                  <c:v>WWT Company ordered</c:v>
                </c:pt>
                <c:pt idx="1">
                  <c:v>Sector 1</c:v>
                </c:pt>
                <c:pt idx="2">
                  <c:v>Sector 2</c:v>
                </c:pt>
                <c:pt idx="3">
                  <c:v>Sector 3</c:v>
                </c:pt>
                <c:pt idx="4">
                  <c:v>Sector 4</c:v>
                </c:pt>
                <c:pt idx="5">
                  <c:v>Sector 5</c:v>
                </c:pt>
              </c:strCache>
            </c:strRef>
          </c:cat>
          <c:val>
            <c:numRef>
              <c:f>Visualization!$AW$4:$BB$4</c:f>
              <c:numCache>
                <c:formatCode>0</c:formatCode>
                <c:ptCount val="6"/>
                <c:pt idx="0">
                  <c:v>2</c:v>
                </c:pt>
                <c:pt idx="1">
                  <c:v>11</c:v>
                </c:pt>
                <c:pt idx="2">
                  <c:v>4</c:v>
                </c:pt>
                <c:pt idx="3">
                  <c:v>4</c:v>
                </c:pt>
                <c:pt idx="4">
                  <c:v>10</c:v>
                </c:pt>
                <c:pt idx="5">
                  <c:v>12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A143-4400-B597-5E231FA28F28}"/>
            </c:ext>
            <c:ext xmlns:c15="http://schemas.microsoft.com/office/drawing/2012/chart" uri="{02D57815-91ED-43cb-92C2-25804820EDAC}">
              <c15:datalabelsRange>
                <c15:f>Visualization!$BC$4:$BH$4</c15:f>
                <c15:dlblRangeCache>
                  <c:ptCount val="6"/>
                  <c:pt idx="0">
                    <c:v> 2nd</c:v>
                  </c:pt>
                  <c:pt idx="1">
                    <c:v> 11th</c:v>
                  </c:pt>
                  <c:pt idx="2">
                    <c:v> 4th</c:v>
                  </c:pt>
                  <c:pt idx="3">
                    <c:v> 4th</c:v>
                  </c:pt>
                  <c:pt idx="4">
                    <c:v> 10th</c:v>
                  </c:pt>
                  <c:pt idx="5">
                    <c:v> 12th</c:v>
                  </c:pt>
                </c15:dlblRangeCache>
              </c15:datalabelsRange>
            </c:ext>
          </c:extLst>
        </c:ser>
        <c:ser>
          <c:idx val="2"/>
          <c:order val="2"/>
          <c:tx>
            <c:strRef>
              <c:f>Visualization!$AV$5</c:f>
              <c:strCache>
                <c:ptCount val="1"/>
                <c:pt idx="0">
                  <c:v>SANEPAR</c:v>
                </c:pt>
              </c:strCache>
            </c:strRef>
          </c:tx>
          <c:spPr>
            <a:ln w="12700"/>
          </c:spPr>
          <c:marker>
            <c:symbol val="circle"/>
            <c:size val="30"/>
            <c:spPr>
              <a:ln w="25400"/>
            </c:spPr>
          </c:marker>
          <c:dPt>
            <c:idx val="0"/>
            <c:marker>
              <c:symbol val="circle"/>
              <c:size val="35"/>
            </c:marker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A143-4400-B597-5E231FA28F28}"/>
              </c:ext>
            </c:extLst>
          </c:dPt>
          <c:dLbls>
            <c:dLbl>
              <c:idx val="0"/>
              <c:layout/>
              <c:dLblPos val="l"/>
              <c:showLegendKey val="0"/>
              <c:showVal val="0"/>
              <c:showCatName val="0"/>
              <c:showSerName val="1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A143-4400-B597-5E231FA28F2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fld id="{DAF49145-B374-48A3-B111-3F8736DF5357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D-9380-47DA-840A-FE32AAC961DC}"/>
                </c:ex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fld id="{D55B1422-11F1-4530-B485-946D7321B3F9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7A861989-E0CE-4E58-9D0A-01A727E98942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fld id="{919358A1-5E7E-4109-B833-230235D09E30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5"/>
              <c:layout/>
              <c:tx>
                <c:rich>
                  <a:bodyPr/>
                  <a:lstStyle/>
                  <a:p>
                    <a:fld id="{78A24EDA-0888-440B-A090-CC4F2D0BA6AA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/>
                </a:pPr>
                <a:endParaRPr lang="pt-BR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DataLabelsRange val="1"/>
                <c15:showLeaderLines val="1"/>
              </c:ext>
            </c:extLst>
          </c:dLbls>
          <c:cat>
            <c:strRef>
              <c:f>Visualization!$AW$2:$BB$2</c:f>
              <c:strCache>
                <c:ptCount val="6"/>
                <c:pt idx="0">
                  <c:v>WWT Company ordered</c:v>
                </c:pt>
                <c:pt idx="1">
                  <c:v>Sector 1</c:v>
                </c:pt>
                <c:pt idx="2">
                  <c:v>Sector 2</c:v>
                </c:pt>
                <c:pt idx="3">
                  <c:v>Sector 3</c:v>
                </c:pt>
                <c:pt idx="4">
                  <c:v>Sector 4</c:v>
                </c:pt>
                <c:pt idx="5">
                  <c:v>Sector 5</c:v>
                </c:pt>
              </c:strCache>
            </c:strRef>
          </c:cat>
          <c:val>
            <c:numRef>
              <c:f>Visualization!$AW$5:$BB$5</c:f>
              <c:numCache>
                <c:formatCode>0</c:formatCode>
                <c:ptCount val="6"/>
                <c:pt idx="0">
                  <c:v>3</c:v>
                </c:pt>
                <c:pt idx="1">
                  <c:v>7</c:v>
                </c:pt>
                <c:pt idx="2">
                  <c:v>2</c:v>
                </c:pt>
                <c:pt idx="3">
                  <c:v>5</c:v>
                </c:pt>
                <c:pt idx="4">
                  <c:v>14</c:v>
                </c:pt>
                <c:pt idx="5">
                  <c:v>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A143-4400-B597-5E231FA28F28}"/>
            </c:ext>
            <c:ext xmlns:c15="http://schemas.microsoft.com/office/drawing/2012/chart" uri="{02D57815-91ED-43cb-92C2-25804820EDAC}">
              <c15:datalabelsRange>
                <c15:f>Visualization!$BC$5:$BH$5</c15:f>
                <c15:dlblRangeCache>
                  <c:ptCount val="6"/>
                  <c:pt idx="0">
                    <c:v> 3rd</c:v>
                  </c:pt>
                  <c:pt idx="1">
                    <c:v> 7th</c:v>
                  </c:pt>
                  <c:pt idx="2">
                    <c:v> 2nd</c:v>
                  </c:pt>
                  <c:pt idx="3">
                    <c:v> 5th</c:v>
                  </c:pt>
                  <c:pt idx="4">
                    <c:v> 14th</c:v>
                  </c:pt>
                  <c:pt idx="5">
                    <c:v> 9th</c:v>
                  </c:pt>
                </c15:dlblRangeCache>
              </c15:datalabelsRange>
            </c:ext>
          </c:extLst>
        </c:ser>
        <c:ser>
          <c:idx val="3"/>
          <c:order val="3"/>
          <c:tx>
            <c:strRef>
              <c:f>Visualization!$AV$6</c:f>
              <c:strCache>
                <c:ptCount val="1"/>
                <c:pt idx="0">
                  <c:v>COPASA</c:v>
                </c:pt>
              </c:strCache>
            </c:strRef>
          </c:tx>
          <c:spPr>
            <a:ln w="12700"/>
          </c:spPr>
          <c:marker>
            <c:symbol val="circle"/>
            <c:size val="30"/>
            <c:spPr>
              <a:ln w="25400"/>
            </c:spPr>
          </c:marker>
          <c:dPt>
            <c:idx val="0"/>
            <c:marker>
              <c:symbol val="circle"/>
              <c:size val="35"/>
            </c:marker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6-A143-4400-B597-5E231FA28F28}"/>
              </c:ext>
            </c:extLst>
          </c:dPt>
          <c:dLbls>
            <c:dLbl>
              <c:idx val="0"/>
              <c:layout/>
              <c:dLblPos val="l"/>
              <c:showLegendKey val="0"/>
              <c:showVal val="0"/>
              <c:showCatName val="0"/>
              <c:showSerName val="1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A143-4400-B597-5E231FA28F2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fld id="{4BC44AA4-E683-4FAF-8872-B3700B6E0F1A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3-9380-47DA-840A-FE32AAC961DC}"/>
                </c:ex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fld id="{9A4D5AD2-7EAF-4706-BF93-98E700796400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4DAA4F76-DB9A-4BAD-835B-0415718C1CC5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fld id="{DDAA257D-CBCE-4BF4-B3A1-4D5327417EF7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5"/>
              <c:layout/>
              <c:tx>
                <c:rich>
                  <a:bodyPr/>
                  <a:lstStyle/>
                  <a:p>
                    <a:fld id="{15BF29D8-6467-44CD-8A11-A403DB9853FC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/>
                </a:pPr>
                <a:endParaRPr lang="pt-BR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DataLabelsRange val="1"/>
                <c15:showLeaderLines val="1"/>
              </c:ext>
            </c:extLst>
          </c:dLbls>
          <c:cat>
            <c:strRef>
              <c:f>Visualization!$AW$2:$BB$2</c:f>
              <c:strCache>
                <c:ptCount val="6"/>
                <c:pt idx="0">
                  <c:v>WWT Company ordered</c:v>
                </c:pt>
                <c:pt idx="1">
                  <c:v>Sector 1</c:v>
                </c:pt>
                <c:pt idx="2">
                  <c:v>Sector 2</c:v>
                </c:pt>
                <c:pt idx="3">
                  <c:v>Sector 3</c:v>
                </c:pt>
                <c:pt idx="4">
                  <c:v>Sector 4</c:v>
                </c:pt>
                <c:pt idx="5">
                  <c:v>Sector 5</c:v>
                </c:pt>
              </c:strCache>
            </c:strRef>
          </c:cat>
          <c:val>
            <c:numRef>
              <c:f>Visualization!$AW$6:$BB$6</c:f>
              <c:numCache>
                <c:formatCode>0</c:formatCode>
                <c:ptCount val="6"/>
                <c:pt idx="0">
                  <c:v>4</c:v>
                </c:pt>
                <c:pt idx="1">
                  <c:v>4</c:v>
                </c:pt>
                <c:pt idx="2">
                  <c:v>11</c:v>
                </c:pt>
                <c:pt idx="3">
                  <c:v>7</c:v>
                </c:pt>
                <c:pt idx="4">
                  <c:v>12</c:v>
                </c:pt>
                <c:pt idx="5">
                  <c:v>18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7-A143-4400-B597-5E231FA28F28}"/>
            </c:ext>
            <c:ext xmlns:c15="http://schemas.microsoft.com/office/drawing/2012/chart" uri="{02D57815-91ED-43cb-92C2-25804820EDAC}">
              <c15:datalabelsRange>
                <c15:f>Visualization!$BC$6:$BH$6</c15:f>
                <c15:dlblRangeCache>
                  <c:ptCount val="6"/>
                  <c:pt idx="0">
                    <c:v> 4th</c:v>
                  </c:pt>
                  <c:pt idx="1">
                    <c:v> 4th</c:v>
                  </c:pt>
                  <c:pt idx="2">
                    <c:v> 11th</c:v>
                  </c:pt>
                  <c:pt idx="3">
                    <c:v> 7th</c:v>
                  </c:pt>
                  <c:pt idx="4">
                    <c:v> 12th</c:v>
                  </c:pt>
                  <c:pt idx="5">
                    <c:v> 18th</c:v>
                  </c:pt>
                </c15:dlblRangeCache>
              </c15:datalabelsRange>
            </c:ext>
          </c:extLst>
        </c:ser>
        <c:ser>
          <c:idx val="4"/>
          <c:order val="4"/>
          <c:tx>
            <c:strRef>
              <c:f>Visualization!$AV$7</c:f>
              <c:strCache>
                <c:ptCount val="1"/>
                <c:pt idx="0">
                  <c:v>COSANPA</c:v>
                </c:pt>
              </c:strCache>
            </c:strRef>
          </c:tx>
          <c:spPr>
            <a:ln w="12700"/>
          </c:spPr>
          <c:marker>
            <c:symbol val="circle"/>
            <c:size val="30"/>
            <c:spPr>
              <a:ln w="25400"/>
            </c:spPr>
          </c:marker>
          <c:dPt>
            <c:idx val="0"/>
            <c:marker>
              <c:symbol val="circle"/>
              <c:size val="35"/>
            </c:marker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8-A143-4400-B597-5E231FA28F28}"/>
              </c:ext>
            </c:extLst>
          </c:dPt>
          <c:dLbls>
            <c:dLbl>
              <c:idx val="0"/>
              <c:layout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 anchorCtr="0">
                  <a:spAutoFit/>
                </a:bodyPr>
                <a:lstStyle/>
                <a:p>
                  <a:pPr algn="l">
                    <a:defRPr sz="1100"/>
                  </a:pPr>
                  <a:endParaRPr lang="pt-BR"/>
                </a:p>
              </c:txPr>
              <c:dLblPos val="l"/>
              <c:showLegendKey val="0"/>
              <c:showVal val="0"/>
              <c:showCatName val="0"/>
              <c:showSerName val="1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A143-4400-B597-5E231FA28F28}"/>
                </c:ex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  <c15:layout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fld id="{727B308E-1E17-4713-927A-BDB7F63C49FF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9-9380-47DA-840A-FE32AAC961DC}"/>
                </c:ex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fld id="{34500B1A-BC33-472F-BF83-95B1F395C7C0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CE34AB56-5373-473D-9577-812642149679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fld id="{AC564AD1-D8C8-470E-9515-A6C57D15F77B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5"/>
              <c:layout/>
              <c:tx>
                <c:rich>
                  <a:bodyPr/>
                  <a:lstStyle/>
                  <a:p>
                    <a:fld id="{80945A8D-DC32-4412-B28C-F2FBB8E22F3D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/>
                </a:pPr>
                <a:endParaRPr lang="pt-BR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  <c15:layout/>
                <c15:showDataLabelsRange val="1"/>
                <c15:showLeaderLines val="0"/>
              </c:ext>
            </c:extLst>
          </c:dLbls>
          <c:cat>
            <c:strRef>
              <c:f>Visualization!$AW$2:$BB$2</c:f>
              <c:strCache>
                <c:ptCount val="6"/>
                <c:pt idx="0">
                  <c:v>WWT Company ordered</c:v>
                </c:pt>
                <c:pt idx="1">
                  <c:v>Sector 1</c:v>
                </c:pt>
                <c:pt idx="2">
                  <c:v>Sector 2</c:v>
                </c:pt>
                <c:pt idx="3">
                  <c:v>Sector 3</c:v>
                </c:pt>
                <c:pt idx="4">
                  <c:v>Sector 4</c:v>
                </c:pt>
                <c:pt idx="5">
                  <c:v>Sector 5</c:v>
                </c:pt>
              </c:strCache>
            </c:strRef>
          </c:cat>
          <c:val>
            <c:numRef>
              <c:f>Visualization!$AW$7:$BB$7</c:f>
              <c:numCache>
                <c:formatCode>0</c:formatCode>
                <c:ptCount val="6"/>
                <c:pt idx="0">
                  <c:v>5</c:v>
                </c:pt>
                <c:pt idx="1">
                  <c:v>3</c:v>
                </c:pt>
                <c:pt idx="2">
                  <c:v>17</c:v>
                </c:pt>
                <c:pt idx="3">
                  <c:v>8</c:v>
                </c:pt>
                <c:pt idx="4">
                  <c:v>3</c:v>
                </c:pt>
                <c:pt idx="5">
                  <c:v>20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9-A143-4400-B597-5E231FA28F28}"/>
            </c:ext>
            <c:ext xmlns:c15="http://schemas.microsoft.com/office/drawing/2012/chart" uri="{02D57815-91ED-43cb-92C2-25804820EDAC}">
              <c15:datalabelsRange>
                <c15:f>Visualization!$BC$7:$BH$7</c15:f>
                <c15:dlblRangeCache>
                  <c:ptCount val="6"/>
                  <c:pt idx="0">
                    <c:v> 5th</c:v>
                  </c:pt>
                  <c:pt idx="1">
                    <c:v> 3rd</c:v>
                  </c:pt>
                  <c:pt idx="2">
                    <c:v> 17th</c:v>
                  </c:pt>
                  <c:pt idx="3">
                    <c:v> 8th</c:v>
                  </c:pt>
                  <c:pt idx="4">
                    <c:v> 3rd</c:v>
                  </c:pt>
                  <c:pt idx="5">
                    <c:v> 20th</c:v>
                  </c:pt>
                </c15:dlblRangeCache>
              </c15:datalabelsRange>
            </c:ext>
          </c:extLst>
        </c:ser>
        <c:ser>
          <c:idx val="5"/>
          <c:order val="5"/>
          <c:tx>
            <c:strRef>
              <c:f>Visualization!$AV$8</c:f>
              <c:strCache>
                <c:ptCount val="1"/>
                <c:pt idx="0">
                  <c:v>SANEAGO</c:v>
                </c:pt>
              </c:strCache>
            </c:strRef>
          </c:tx>
          <c:spPr>
            <a:ln w="12700"/>
          </c:spPr>
          <c:marker>
            <c:symbol val="circle"/>
            <c:size val="30"/>
            <c:spPr>
              <a:ln w="25400"/>
            </c:spPr>
          </c:marker>
          <c:dPt>
            <c:idx val="0"/>
            <c:marker>
              <c:symbol val="circle"/>
              <c:size val="35"/>
            </c:marker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A-A143-4400-B597-5E231FA28F28}"/>
              </c:ext>
            </c:extLst>
          </c:dPt>
          <c:dLbls>
            <c:dLbl>
              <c:idx val="0"/>
              <c:layout/>
              <c:dLblPos val="l"/>
              <c:showLegendKey val="0"/>
              <c:showVal val="0"/>
              <c:showCatName val="0"/>
              <c:showSerName val="1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A143-4400-B597-5E231FA28F2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fld id="{888145FC-C506-41A3-9500-12580854E0B9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F-9380-47DA-840A-FE32AAC961DC}"/>
                </c:ex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fld id="{C43A4136-6327-4AC5-B319-798B758E4949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5CFB245A-B9B0-41C3-8E74-DBCC3D6774B7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fld id="{71456121-1353-4482-A72A-44AC6558F9FC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5"/>
              <c:layout/>
              <c:tx>
                <c:rich>
                  <a:bodyPr/>
                  <a:lstStyle/>
                  <a:p>
                    <a:fld id="{B1B9EEF8-7609-4B1F-AAD6-A0CDE62B4B0D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/>
                </a:pPr>
                <a:endParaRPr lang="pt-BR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DataLabelsRange val="1"/>
                <c15:showLeaderLines val="1"/>
              </c:ext>
            </c:extLst>
          </c:dLbls>
          <c:cat>
            <c:strRef>
              <c:f>Visualization!$AW$2:$BB$2</c:f>
              <c:strCache>
                <c:ptCount val="6"/>
                <c:pt idx="0">
                  <c:v>WWT Company ordered</c:v>
                </c:pt>
                <c:pt idx="1">
                  <c:v>Sector 1</c:v>
                </c:pt>
                <c:pt idx="2">
                  <c:v>Sector 2</c:v>
                </c:pt>
                <c:pt idx="3">
                  <c:v>Sector 3</c:v>
                </c:pt>
                <c:pt idx="4">
                  <c:v>Sector 4</c:v>
                </c:pt>
                <c:pt idx="5">
                  <c:v>Sector 5</c:v>
                </c:pt>
              </c:strCache>
            </c:strRef>
          </c:cat>
          <c:val>
            <c:numRef>
              <c:f>Visualization!$AW$8:$BB$8</c:f>
              <c:numCache>
                <c:formatCode>0</c:formatCode>
                <c:ptCount val="6"/>
                <c:pt idx="0">
                  <c:v>6</c:v>
                </c:pt>
                <c:pt idx="1">
                  <c:v>1</c:v>
                </c:pt>
                <c:pt idx="2">
                  <c:v>9</c:v>
                </c:pt>
                <c:pt idx="3">
                  <c:v>14</c:v>
                </c:pt>
                <c:pt idx="4">
                  <c:v>9</c:v>
                </c:pt>
                <c:pt idx="5">
                  <c:v>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B-A143-4400-B597-5E231FA28F28}"/>
            </c:ext>
            <c:ext xmlns:c15="http://schemas.microsoft.com/office/drawing/2012/chart" uri="{02D57815-91ED-43cb-92C2-25804820EDAC}">
              <c15:datalabelsRange>
                <c15:f>Visualization!$BC$8:$BH$8</c15:f>
                <c15:dlblRangeCache>
                  <c:ptCount val="6"/>
                  <c:pt idx="0">
                    <c:v> 6th</c:v>
                  </c:pt>
                  <c:pt idx="1">
                    <c:v> 1st</c:v>
                  </c:pt>
                  <c:pt idx="2">
                    <c:v> 9th</c:v>
                  </c:pt>
                  <c:pt idx="3">
                    <c:v> 14th</c:v>
                  </c:pt>
                  <c:pt idx="4">
                    <c:v> 9th</c:v>
                  </c:pt>
                  <c:pt idx="5">
                    <c:v> 7th</c:v>
                  </c:pt>
                </c15:dlblRangeCache>
              </c15:datalabelsRange>
            </c:ext>
          </c:extLst>
        </c:ser>
        <c:ser>
          <c:idx val="6"/>
          <c:order val="6"/>
          <c:tx>
            <c:strRef>
              <c:f>Visualization!$AV$9</c:f>
              <c:strCache>
                <c:ptCount val="1"/>
                <c:pt idx="0">
                  <c:v>CAGEPA</c:v>
                </c:pt>
              </c:strCache>
            </c:strRef>
          </c:tx>
          <c:spPr>
            <a:ln w="12700"/>
          </c:spPr>
          <c:marker>
            <c:symbol val="circle"/>
            <c:size val="30"/>
            <c:spPr>
              <a:ln w="25400"/>
            </c:spPr>
          </c:marker>
          <c:dPt>
            <c:idx val="0"/>
            <c:marker>
              <c:symbol val="circle"/>
              <c:size val="35"/>
            </c:marker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C-A143-4400-B597-5E231FA28F28}"/>
              </c:ext>
            </c:extLst>
          </c:dPt>
          <c:dLbls>
            <c:dLbl>
              <c:idx val="0"/>
              <c:layout/>
              <c:dLblPos val="l"/>
              <c:showLegendKey val="0"/>
              <c:showVal val="0"/>
              <c:showCatName val="0"/>
              <c:showSerName val="1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C-A143-4400-B597-5E231FA28F2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fld id="{32A71254-F4A1-465E-927C-9AEC028CFD8F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5-9380-47DA-840A-FE32AAC961DC}"/>
                </c:ex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fld id="{4A31F1ED-5CCF-499B-B241-B82C1BD27032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5394DF7A-2958-4FB1-AD79-3763E9DE768E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fld id="{DFCDB821-2D95-4020-80B9-52D2AC896C25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5"/>
              <c:layout/>
              <c:tx>
                <c:rich>
                  <a:bodyPr/>
                  <a:lstStyle/>
                  <a:p>
                    <a:fld id="{FD1B0347-E8AE-4875-BFC6-F25E634B82C0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/>
                </a:pPr>
                <a:endParaRPr lang="pt-BR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DataLabelsRange val="1"/>
                <c15:showLeaderLines val="1"/>
              </c:ext>
            </c:extLst>
          </c:dLbls>
          <c:cat>
            <c:strRef>
              <c:f>Visualization!$AW$2:$BB$2</c:f>
              <c:strCache>
                <c:ptCount val="6"/>
                <c:pt idx="0">
                  <c:v>WWT Company ordered</c:v>
                </c:pt>
                <c:pt idx="1">
                  <c:v>Sector 1</c:v>
                </c:pt>
                <c:pt idx="2">
                  <c:v>Sector 2</c:v>
                </c:pt>
                <c:pt idx="3">
                  <c:v>Sector 3</c:v>
                </c:pt>
                <c:pt idx="4">
                  <c:v>Sector 4</c:v>
                </c:pt>
                <c:pt idx="5">
                  <c:v>Sector 5</c:v>
                </c:pt>
              </c:strCache>
            </c:strRef>
          </c:cat>
          <c:val>
            <c:numRef>
              <c:f>Visualization!$AW$9:$BB$9</c:f>
              <c:numCache>
                <c:formatCode>0</c:formatCode>
                <c:ptCount val="6"/>
                <c:pt idx="0">
                  <c:v>7</c:v>
                </c:pt>
                <c:pt idx="1">
                  <c:v>6</c:v>
                </c:pt>
                <c:pt idx="2">
                  <c:v>13</c:v>
                </c:pt>
                <c:pt idx="3">
                  <c:v>15</c:v>
                </c:pt>
                <c:pt idx="4">
                  <c:v>5</c:v>
                </c:pt>
                <c:pt idx="5">
                  <c:v>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E-A143-4400-B597-5E231FA28F28}"/>
            </c:ext>
            <c:ext xmlns:c15="http://schemas.microsoft.com/office/drawing/2012/chart" uri="{02D57815-91ED-43cb-92C2-25804820EDAC}">
              <c15:datalabelsRange>
                <c15:f>Visualization!$BC$9:$BH$9</c15:f>
                <c15:dlblRangeCache>
                  <c:ptCount val="6"/>
                  <c:pt idx="0">
                    <c:v> 7th</c:v>
                  </c:pt>
                  <c:pt idx="1">
                    <c:v> 6th</c:v>
                  </c:pt>
                  <c:pt idx="2">
                    <c:v> 13th</c:v>
                  </c:pt>
                  <c:pt idx="3">
                    <c:v> 15th</c:v>
                  </c:pt>
                  <c:pt idx="4">
                    <c:v> 5th</c:v>
                  </c:pt>
                  <c:pt idx="5">
                    <c:v> 2nd</c:v>
                  </c:pt>
                </c15:dlblRangeCache>
              </c15:datalabelsRange>
            </c:ext>
          </c:extLst>
        </c:ser>
        <c:ser>
          <c:idx val="7"/>
          <c:order val="7"/>
          <c:tx>
            <c:strRef>
              <c:f>Visualization!$AV$10</c:f>
              <c:strCache>
                <c:ptCount val="1"/>
                <c:pt idx="0">
                  <c:v>CAESB</c:v>
                </c:pt>
              </c:strCache>
            </c:strRef>
          </c:tx>
          <c:spPr>
            <a:ln w="12700"/>
          </c:spPr>
          <c:marker>
            <c:symbol val="circle"/>
            <c:size val="30"/>
            <c:spPr>
              <a:ln w="25400"/>
            </c:spPr>
          </c:marker>
          <c:dPt>
            <c:idx val="0"/>
            <c:marker>
              <c:symbol val="circle"/>
              <c:size val="35"/>
            </c:marker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F-A143-4400-B597-5E231FA28F28}"/>
              </c:ext>
            </c:extLst>
          </c:dPt>
          <c:dLbls>
            <c:dLbl>
              <c:idx val="0"/>
              <c:layout/>
              <c:dLblPos val="l"/>
              <c:showLegendKey val="0"/>
              <c:showVal val="0"/>
              <c:showCatName val="0"/>
              <c:showSerName val="1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F-A143-4400-B597-5E231FA28F2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fld id="{C25FB300-3098-4983-89A4-DD9263CD7AEB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B-9380-47DA-840A-FE32AAC961DC}"/>
                </c:ex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fld id="{31F63538-D6ED-4166-A5F7-7A0D44263CDB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BB6C2A5B-BD8C-4CDA-8E9A-AC63A845B7F6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fld id="{EF05DC3B-040A-4E31-89B2-277AC9CD3DE5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5"/>
              <c:layout/>
              <c:tx>
                <c:rich>
                  <a:bodyPr/>
                  <a:lstStyle/>
                  <a:p>
                    <a:fld id="{1F4F7E92-4BBC-44A4-BDFF-B520CF9AFB93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/>
                </a:pPr>
                <a:endParaRPr lang="pt-BR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DataLabelsRange val="1"/>
                <c15:showLeaderLines val="1"/>
              </c:ext>
            </c:extLst>
          </c:dLbls>
          <c:cat>
            <c:strRef>
              <c:f>Visualization!$AW$2:$BB$2</c:f>
              <c:strCache>
                <c:ptCount val="6"/>
                <c:pt idx="0">
                  <c:v>WWT Company ordered</c:v>
                </c:pt>
                <c:pt idx="1">
                  <c:v>Sector 1</c:v>
                </c:pt>
                <c:pt idx="2">
                  <c:v>Sector 2</c:v>
                </c:pt>
                <c:pt idx="3">
                  <c:v>Sector 3</c:v>
                </c:pt>
                <c:pt idx="4">
                  <c:v>Sector 4</c:v>
                </c:pt>
                <c:pt idx="5">
                  <c:v>Sector 5</c:v>
                </c:pt>
              </c:strCache>
            </c:strRef>
          </c:cat>
          <c:val>
            <c:numRef>
              <c:f>Visualization!$AW$10:$BB$10</c:f>
              <c:numCache>
                <c:formatCode>0</c:formatCode>
                <c:ptCount val="6"/>
                <c:pt idx="0">
                  <c:v>8</c:v>
                </c:pt>
                <c:pt idx="1">
                  <c:v>10</c:v>
                </c:pt>
                <c:pt idx="2">
                  <c:v>7</c:v>
                </c:pt>
                <c:pt idx="3">
                  <c:v>10</c:v>
                </c:pt>
                <c:pt idx="4">
                  <c:v>11</c:v>
                </c:pt>
                <c:pt idx="5">
                  <c:v>11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0-A143-4400-B597-5E231FA28F28}"/>
            </c:ext>
            <c:ext xmlns:c15="http://schemas.microsoft.com/office/drawing/2012/chart" uri="{02D57815-91ED-43cb-92C2-25804820EDAC}">
              <c15:datalabelsRange>
                <c15:f>Visualization!$BC$10:$BH$10</c15:f>
                <c15:dlblRangeCache>
                  <c:ptCount val="6"/>
                  <c:pt idx="0">
                    <c:v> 8th</c:v>
                  </c:pt>
                  <c:pt idx="1">
                    <c:v> 10th</c:v>
                  </c:pt>
                  <c:pt idx="2">
                    <c:v> 7th</c:v>
                  </c:pt>
                  <c:pt idx="3">
                    <c:v> 10th</c:v>
                  </c:pt>
                  <c:pt idx="4">
                    <c:v> 11th</c:v>
                  </c:pt>
                  <c:pt idx="5">
                    <c:v> 11th</c:v>
                  </c:pt>
                </c15:dlblRangeCache>
              </c15:datalabelsRange>
            </c:ext>
          </c:extLst>
        </c:ser>
        <c:ser>
          <c:idx val="8"/>
          <c:order val="8"/>
          <c:tx>
            <c:strRef>
              <c:f>Visualization!$AV$11</c:f>
              <c:strCache>
                <c:ptCount val="1"/>
                <c:pt idx="0">
                  <c:v>CESAN</c:v>
                </c:pt>
              </c:strCache>
            </c:strRef>
          </c:tx>
          <c:spPr>
            <a:ln w="12700"/>
          </c:spPr>
          <c:marker>
            <c:symbol val="circle"/>
            <c:size val="30"/>
            <c:spPr>
              <a:ln w="25400"/>
            </c:spPr>
          </c:marker>
          <c:dPt>
            <c:idx val="0"/>
            <c:marker>
              <c:symbol val="circle"/>
              <c:size val="35"/>
            </c:marker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11-A143-4400-B597-5E231FA28F28}"/>
              </c:ext>
            </c:extLst>
          </c:dPt>
          <c:dLbls>
            <c:dLbl>
              <c:idx val="0"/>
              <c:layout/>
              <c:dLblPos val="l"/>
              <c:showLegendKey val="0"/>
              <c:showVal val="0"/>
              <c:showCatName val="0"/>
              <c:showSerName val="1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1-A143-4400-B597-5E231FA28F2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fld id="{DE10FC0B-DD10-4C59-AADA-51187103AC97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31-9380-47DA-840A-FE32AAC961DC}"/>
                </c:ex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fld id="{D8FDEE9E-6959-4773-A4D9-CA72D9998D27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8D81CD92-F98B-4C56-BD62-969E4AC70D0E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fld id="{46D2517C-3991-4F3D-95A1-172EE966A2D5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5"/>
              <c:layout/>
              <c:tx>
                <c:rich>
                  <a:bodyPr/>
                  <a:lstStyle/>
                  <a:p>
                    <a:fld id="{75B6BC25-4635-4D39-B1B1-534B682208AD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/>
                </a:pPr>
                <a:endParaRPr lang="pt-BR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DataLabelsRange val="1"/>
                <c15:showLeaderLines val="1"/>
              </c:ext>
            </c:extLst>
          </c:dLbls>
          <c:cat>
            <c:strRef>
              <c:f>Visualization!$AW$2:$BB$2</c:f>
              <c:strCache>
                <c:ptCount val="6"/>
                <c:pt idx="0">
                  <c:v>WWT Company ordered</c:v>
                </c:pt>
                <c:pt idx="1">
                  <c:v>Sector 1</c:v>
                </c:pt>
                <c:pt idx="2">
                  <c:v>Sector 2</c:v>
                </c:pt>
                <c:pt idx="3">
                  <c:v>Sector 3</c:v>
                </c:pt>
                <c:pt idx="4">
                  <c:v>Sector 4</c:v>
                </c:pt>
                <c:pt idx="5">
                  <c:v>Sector 5</c:v>
                </c:pt>
              </c:strCache>
            </c:strRef>
          </c:cat>
          <c:val>
            <c:numRef>
              <c:f>Visualization!$AW$11:$BB$11</c:f>
              <c:numCache>
                <c:formatCode>0</c:formatCode>
                <c:ptCount val="6"/>
                <c:pt idx="0">
                  <c:v>9</c:v>
                </c:pt>
                <c:pt idx="1">
                  <c:v>13</c:v>
                </c:pt>
                <c:pt idx="2">
                  <c:v>5</c:v>
                </c:pt>
                <c:pt idx="3">
                  <c:v>6</c:v>
                </c:pt>
                <c:pt idx="4">
                  <c:v>18</c:v>
                </c:pt>
                <c:pt idx="5">
                  <c:v>13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2-A143-4400-B597-5E231FA28F28}"/>
            </c:ext>
            <c:ext xmlns:c15="http://schemas.microsoft.com/office/drawing/2012/chart" uri="{02D57815-91ED-43cb-92C2-25804820EDAC}">
              <c15:datalabelsRange>
                <c15:f>Visualization!$BC$11:$BH$11</c15:f>
                <c15:dlblRangeCache>
                  <c:ptCount val="6"/>
                  <c:pt idx="0">
                    <c:v> 9th</c:v>
                  </c:pt>
                  <c:pt idx="1">
                    <c:v> 13th</c:v>
                  </c:pt>
                  <c:pt idx="2">
                    <c:v> 5th</c:v>
                  </c:pt>
                  <c:pt idx="3">
                    <c:v> 6th</c:v>
                  </c:pt>
                  <c:pt idx="4">
                    <c:v> 18th</c:v>
                  </c:pt>
                  <c:pt idx="5">
                    <c:v> 13th</c:v>
                  </c:pt>
                </c15:dlblRangeCache>
              </c15:datalabelsRange>
            </c:ext>
          </c:extLst>
        </c:ser>
        <c:ser>
          <c:idx val="9"/>
          <c:order val="9"/>
          <c:tx>
            <c:strRef>
              <c:f>Visualization!$AV$12</c:f>
              <c:strCache>
                <c:ptCount val="1"/>
                <c:pt idx="0">
                  <c:v>EMBASA</c:v>
                </c:pt>
              </c:strCache>
            </c:strRef>
          </c:tx>
          <c:spPr>
            <a:ln w="12700">
              <a:solidFill>
                <a:srgbClr val="FFFF00"/>
              </a:solidFill>
            </a:ln>
          </c:spPr>
          <c:marker>
            <c:symbol val="circle"/>
            <c:size val="30"/>
            <c:spPr>
              <a:solidFill>
                <a:srgbClr val="FFFF4B"/>
              </a:solidFill>
              <a:ln w="25400">
                <a:noFill/>
              </a:ln>
            </c:spPr>
          </c:marker>
          <c:dPt>
            <c:idx val="0"/>
            <c:marker>
              <c:symbol val="circle"/>
              <c:size val="35"/>
            </c:marker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13-A143-4400-B597-5E231FA28F28}"/>
              </c:ext>
            </c:extLst>
          </c:dPt>
          <c:dLbls>
            <c:dLbl>
              <c:idx val="0"/>
              <c:layout/>
              <c:dLblPos val="l"/>
              <c:showLegendKey val="0"/>
              <c:showVal val="0"/>
              <c:showCatName val="0"/>
              <c:showSerName val="1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3-A143-4400-B597-5E231FA28F2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fld id="{9CCA0EF6-83FB-4141-8FFB-F16E8D1C8554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37-9380-47DA-840A-FE32AAC961DC}"/>
                </c:ex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fld id="{5FDE564A-BFEA-4CC6-99ED-03BCF7BF7C4F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F903DEEE-62D7-47DA-8B57-041483A2A9AE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fld id="{524B1B08-99A1-4803-A553-C5BFD19D12D6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5"/>
              <c:layout/>
              <c:tx>
                <c:rich>
                  <a:bodyPr/>
                  <a:lstStyle/>
                  <a:p>
                    <a:fld id="{33256AC3-99B3-43DE-BA6B-F11D7CBE782A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/>
                </a:pPr>
                <a:endParaRPr lang="pt-BR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DataLabelsRange val="1"/>
                <c15:showLeaderLines val="1"/>
              </c:ext>
            </c:extLst>
          </c:dLbls>
          <c:cat>
            <c:strRef>
              <c:f>Visualization!$AW$2:$BB$2</c:f>
              <c:strCache>
                <c:ptCount val="6"/>
                <c:pt idx="0">
                  <c:v>WWT Company ordered</c:v>
                </c:pt>
                <c:pt idx="1">
                  <c:v>Sector 1</c:v>
                </c:pt>
                <c:pt idx="2">
                  <c:v>Sector 2</c:v>
                </c:pt>
                <c:pt idx="3">
                  <c:v>Sector 3</c:v>
                </c:pt>
                <c:pt idx="4">
                  <c:v>Sector 4</c:v>
                </c:pt>
                <c:pt idx="5">
                  <c:v>Sector 5</c:v>
                </c:pt>
              </c:strCache>
            </c:strRef>
          </c:cat>
          <c:val>
            <c:numRef>
              <c:f>Visualization!$AW$12:$BB$12</c:f>
              <c:numCache>
                <c:formatCode>0</c:formatCode>
                <c:ptCount val="6"/>
                <c:pt idx="0">
                  <c:v>10</c:v>
                </c:pt>
                <c:pt idx="1">
                  <c:v>5</c:v>
                </c:pt>
                <c:pt idx="2">
                  <c:v>10</c:v>
                </c:pt>
                <c:pt idx="3">
                  <c:v>12</c:v>
                </c:pt>
                <c:pt idx="4">
                  <c:v>16</c:v>
                </c:pt>
                <c:pt idx="5">
                  <c:v>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4-A143-4400-B597-5E231FA28F28}"/>
            </c:ext>
            <c:ext xmlns:c15="http://schemas.microsoft.com/office/drawing/2012/chart" uri="{02D57815-91ED-43cb-92C2-25804820EDAC}">
              <c15:datalabelsRange>
                <c15:f>Visualization!$BC$12:$BH$12</c15:f>
                <c15:dlblRangeCache>
                  <c:ptCount val="6"/>
                  <c:pt idx="0">
                    <c:v> 10th</c:v>
                  </c:pt>
                  <c:pt idx="1">
                    <c:v> 5th</c:v>
                  </c:pt>
                  <c:pt idx="2">
                    <c:v> 10th</c:v>
                  </c:pt>
                  <c:pt idx="3">
                    <c:v> 12th</c:v>
                  </c:pt>
                  <c:pt idx="4">
                    <c:v> 16th</c:v>
                  </c:pt>
                  <c:pt idx="5">
                    <c:v> 5th</c:v>
                  </c:pt>
                </c15:dlblRangeCache>
              </c15:datalabelsRange>
            </c:ext>
          </c:extLst>
        </c:ser>
        <c:ser>
          <c:idx val="10"/>
          <c:order val="10"/>
          <c:tx>
            <c:strRef>
              <c:f>Visualization!$AV$13</c:f>
              <c:strCache>
                <c:ptCount val="1"/>
                <c:pt idx="0">
                  <c:v>CEDAE</c:v>
                </c:pt>
              </c:strCache>
            </c:strRef>
          </c:tx>
          <c:spPr>
            <a:ln w="12700"/>
          </c:spPr>
          <c:marker>
            <c:symbol val="circle"/>
            <c:size val="30"/>
          </c:marker>
          <c:dPt>
            <c:idx val="0"/>
            <c:marker>
              <c:symbol val="circle"/>
              <c:size val="35"/>
            </c:marker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15-A143-4400-B597-5E231FA28F28}"/>
              </c:ext>
            </c:extLst>
          </c:dPt>
          <c:dLbls>
            <c:dLbl>
              <c:idx val="0"/>
              <c:layout/>
              <c:dLblPos val="l"/>
              <c:showLegendKey val="0"/>
              <c:showVal val="0"/>
              <c:showCatName val="0"/>
              <c:showSerName val="1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5-A143-4400-B597-5E231FA28F2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fld id="{415A3851-DC30-4411-A321-D6C4A82D961E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3D-9380-47DA-840A-FE32AAC961DC}"/>
                </c:ex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fld id="{0345E55B-96A8-40E3-A9EA-DD3F0D00CC73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6FBD6D6E-EBDA-4A59-AA0E-41E6F6082A54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fld id="{B0EAC96F-3FC0-43EF-8D03-0EC67B7F836D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5"/>
              <c:layout/>
              <c:tx>
                <c:rich>
                  <a:bodyPr/>
                  <a:lstStyle/>
                  <a:p>
                    <a:fld id="{CBE549D3-76E7-41D9-AD87-D68206F8382E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/>
                </a:pPr>
                <a:endParaRPr lang="pt-BR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DataLabelsRange val="1"/>
                <c15:showLeaderLines val="1"/>
              </c:ext>
            </c:extLst>
          </c:dLbls>
          <c:cat>
            <c:strRef>
              <c:f>Visualization!$AW$2:$BB$2</c:f>
              <c:strCache>
                <c:ptCount val="6"/>
                <c:pt idx="0">
                  <c:v>WWT Company ordered</c:v>
                </c:pt>
                <c:pt idx="1">
                  <c:v>Sector 1</c:v>
                </c:pt>
                <c:pt idx="2">
                  <c:v>Sector 2</c:v>
                </c:pt>
                <c:pt idx="3">
                  <c:v>Sector 3</c:v>
                </c:pt>
                <c:pt idx="4">
                  <c:v>Sector 4</c:v>
                </c:pt>
                <c:pt idx="5">
                  <c:v>Sector 5</c:v>
                </c:pt>
              </c:strCache>
            </c:strRef>
          </c:cat>
          <c:val>
            <c:numRef>
              <c:f>Visualization!$AW$13:$BB$13</c:f>
              <c:numCache>
                <c:formatCode>0</c:formatCode>
                <c:ptCount val="6"/>
                <c:pt idx="0">
                  <c:v>11</c:v>
                </c:pt>
                <c:pt idx="1">
                  <c:v>19</c:v>
                </c:pt>
                <c:pt idx="2">
                  <c:v>8</c:v>
                </c:pt>
                <c:pt idx="3">
                  <c:v>3</c:v>
                </c:pt>
                <c:pt idx="4">
                  <c:v>20</c:v>
                </c:pt>
                <c:pt idx="5">
                  <c:v>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6-A143-4400-B597-5E231FA28F28}"/>
            </c:ext>
            <c:ext xmlns:c15="http://schemas.microsoft.com/office/drawing/2012/chart" uri="{02D57815-91ED-43cb-92C2-25804820EDAC}">
              <c15:datalabelsRange>
                <c15:f>Visualization!$BC$13:$BH$13</c15:f>
                <c15:dlblRangeCache>
                  <c:ptCount val="6"/>
                  <c:pt idx="0">
                    <c:v> 11th</c:v>
                  </c:pt>
                  <c:pt idx="1">
                    <c:v> 19th</c:v>
                  </c:pt>
                  <c:pt idx="2">
                    <c:v> 8th</c:v>
                  </c:pt>
                  <c:pt idx="3">
                    <c:v> 3rd</c:v>
                  </c:pt>
                  <c:pt idx="4">
                    <c:v> 20th</c:v>
                  </c:pt>
                  <c:pt idx="5">
                    <c:v> 3rd</c:v>
                  </c:pt>
                </c15:dlblRangeCache>
              </c15:datalabelsRange>
            </c:ext>
          </c:extLst>
        </c:ser>
        <c:ser>
          <c:idx val="11"/>
          <c:order val="11"/>
          <c:tx>
            <c:strRef>
              <c:f>Visualization!$AV$14</c:f>
              <c:strCache>
                <c:ptCount val="1"/>
                <c:pt idx="0">
                  <c:v>COMPESA</c:v>
                </c:pt>
              </c:strCache>
            </c:strRef>
          </c:tx>
          <c:spPr>
            <a:ln w="12700"/>
          </c:spPr>
          <c:marker>
            <c:symbol val="circle"/>
            <c:size val="30"/>
          </c:marker>
          <c:dPt>
            <c:idx val="0"/>
            <c:marker>
              <c:symbol val="circle"/>
              <c:size val="35"/>
            </c:marker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17-A143-4400-B597-5E231FA28F28}"/>
              </c:ext>
            </c:extLst>
          </c:dPt>
          <c:dLbls>
            <c:dLbl>
              <c:idx val="0"/>
              <c:layout/>
              <c:dLblPos val="l"/>
              <c:showLegendKey val="0"/>
              <c:showVal val="0"/>
              <c:showCatName val="0"/>
              <c:showSerName val="1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7-A143-4400-B597-5E231FA28F2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fld id="{AB04F3DB-BB4F-4774-A4C0-368E23CE46ED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43-9380-47DA-840A-FE32AAC961DC}"/>
                </c:ex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fld id="{AE201765-24E8-495B-BDDD-D8CDB5455481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FB2CCF43-C17F-4A7C-98AA-68C7452E7AE8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fld id="{DA8C51B2-5E9A-4E7C-881F-6CD1A228EC15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5"/>
              <c:layout/>
              <c:tx>
                <c:rich>
                  <a:bodyPr/>
                  <a:lstStyle/>
                  <a:p>
                    <a:fld id="{B44B0D8D-A9E6-45CB-BFB1-AF59575F4FCA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/>
                </a:pPr>
                <a:endParaRPr lang="pt-BR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DataLabelsRange val="1"/>
                <c15:showLeaderLines val="1"/>
              </c:ext>
            </c:extLst>
          </c:dLbls>
          <c:cat>
            <c:strRef>
              <c:f>Visualization!$AW$2:$BB$2</c:f>
              <c:strCache>
                <c:ptCount val="6"/>
                <c:pt idx="0">
                  <c:v>WWT Company ordered</c:v>
                </c:pt>
                <c:pt idx="1">
                  <c:v>Sector 1</c:v>
                </c:pt>
                <c:pt idx="2">
                  <c:v>Sector 2</c:v>
                </c:pt>
                <c:pt idx="3">
                  <c:v>Sector 3</c:v>
                </c:pt>
                <c:pt idx="4">
                  <c:v>Sector 4</c:v>
                </c:pt>
                <c:pt idx="5">
                  <c:v>Sector 5</c:v>
                </c:pt>
              </c:strCache>
            </c:strRef>
          </c:cat>
          <c:val>
            <c:numRef>
              <c:f>Visualization!$AW$14:$BB$14</c:f>
              <c:numCache>
                <c:formatCode>0</c:formatCode>
                <c:ptCount val="6"/>
                <c:pt idx="0">
                  <c:v>12</c:v>
                </c:pt>
                <c:pt idx="1">
                  <c:v>12</c:v>
                </c:pt>
                <c:pt idx="2">
                  <c:v>15</c:v>
                </c:pt>
                <c:pt idx="3">
                  <c:v>9</c:v>
                </c:pt>
                <c:pt idx="4">
                  <c:v>13</c:v>
                </c:pt>
                <c:pt idx="5">
                  <c:v>10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8-A143-4400-B597-5E231FA28F28}"/>
            </c:ext>
            <c:ext xmlns:c15="http://schemas.microsoft.com/office/drawing/2012/chart" uri="{02D57815-91ED-43cb-92C2-25804820EDAC}">
              <c15:datalabelsRange>
                <c15:f>Visualization!$BC$14:$BH$14</c15:f>
                <c15:dlblRangeCache>
                  <c:ptCount val="6"/>
                  <c:pt idx="0">
                    <c:v> 12th</c:v>
                  </c:pt>
                  <c:pt idx="1">
                    <c:v> 12th</c:v>
                  </c:pt>
                  <c:pt idx="2">
                    <c:v> 15th</c:v>
                  </c:pt>
                  <c:pt idx="3">
                    <c:v> 9th</c:v>
                  </c:pt>
                  <c:pt idx="4">
                    <c:v> 13th</c:v>
                  </c:pt>
                  <c:pt idx="5">
                    <c:v> 10th</c:v>
                  </c:pt>
                </c15:dlblRangeCache>
              </c15:datalabelsRange>
            </c:ext>
          </c:extLst>
        </c:ser>
        <c:ser>
          <c:idx val="12"/>
          <c:order val="12"/>
          <c:tx>
            <c:strRef>
              <c:f>Visualization!$AV$15</c:f>
              <c:strCache>
                <c:ptCount val="1"/>
                <c:pt idx="0">
                  <c:v>MA</c:v>
                </c:pt>
              </c:strCache>
            </c:strRef>
          </c:tx>
          <c:spPr>
            <a:ln w="12700"/>
          </c:spPr>
          <c:marker>
            <c:symbol val="circle"/>
            <c:size val="30"/>
          </c:marker>
          <c:dPt>
            <c:idx val="0"/>
            <c:marker>
              <c:symbol val="circle"/>
              <c:size val="35"/>
            </c:marker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19-A143-4400-B597-5E231FA28F28}"/>
              </c:ext>
            </c:extLst>
          </c:dPt>
          <c:dLbls>
            <c:dLbl>
              <c:idx val="0"/>
              <c:layout/>
              <c:dLblPos val="l"/>
              <c:showLegendKey val="0"/>
              <c:showVal val="0"/>
              <c:showCatName val="0"/>
              <c:showSerName val="1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9-A143-4400-B597-5E231FA28F2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fld id="{2F4E0936-F47B-4CBD-9187-CCE5D5710EC4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49-9380-47DA-840A-FE32AAC961DC}"/>
                </c:ex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fld id="{C7FE2092-1313-4C1A-9615-657746A00C38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C7AF9484-2CF1-4B89-9B74-B6B5E9A23194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fld id="{975FE201-F780-436F-88A3-1FB6974ED845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5"/>
              <c:layout/>
              <c:tx>
                <c:rich>
                  <a:bodyPr/>
                  <a:lstStyle/>
                  <a:p>
                    <a:fld id="{C48AD4BC-1AF1-4F29-AB1E-89C4A6F0F77C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/>
                </a:pPr>
                <a:endParaRPr lang="pt-BR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DataLabelsRange val="1"/>
                <c15:showLeaderLines val="1"/>
              </c:ext>
            </c:extLst>
          </c:dLbls>
          <c:cat>
            <c:strRef>
              <c:f>Visualization!$AW$2:$BB$2</c:f>
              <c:strCache>
                <c:ptCount val="6"/>
                <c:pt idx="0">
                  <c:v>WWT Company ordered</c:v>
                </c:pt>
                <c:pt idx="1">
                  <c:v>Sector 1</c:v>
                </c:pt>
                <c:pt idx="2">
                  <c:v>Sector 2</c:v>
                </c:pt>
                <c:pt idx="3">
                  <c:v>Sector 3</c:v>
                </c:pt>
                <c:pt idx="4">
                  <c:v>Sector 4</c:v>
                </c:pt>
                <c:pt idx="5">
                  <c:v>Sector 5</c:v>
                </c:pt>
              </c:strCache>
            </c:strRef>
          </c:cat>
          <c:val>
            <c:numRef>
              <c:f>Visualization!$AW$15:$BB$15</c:f>
              <c:numCache>
                <c:formatCode>0</c:formatCode>
                <c:ptCount val="6"/>
                <c:pt idx="0">
                  <c:v>13</c:v>
                </c:pt>
                <c:pt idx="1">
                  <c:v>17</c:v>
                </c:pt>
                <c:pt idx="2">
                  <c:v>19</c:v>
                </c:pt>
                <c:pt idx="3">
                  <c:v>2</c:v>
                </c:pt>
                <c:pt idx="4">
                  <c:v>15</c:v>
                </c:pt>
                <c:pt idx="5">
                  <c:v>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A-A143-4400-B597-5E231FA28F28}"/>
            </c:ext>
            <c:ext xmlns:c15="http://schemas.microsoft.com/office/drawing/2012/chart" uri="{02D57815-91ED-43cb-92C2-25804820EDAC}">
              <c15:datalabelsRange>
                <c15:f>Visualization!$BC$15:$BH$15</c15:f>
                <c15:dlblRangeCache>
                  <c:ptCount val="6"/>
                  <c:pt idx="0">
                    <c:v> 13th</c:v>
                  </c:pt>
                  <c:pt idx="1">
                    <c:v> 17th</c:v>
                  </c:pt>
                  <c:pt idx="2">
                    <c:v> 19th</c:v>
                  </c:pt>
                  <c:pt idx="3">
                    <c:v> 2nd</c:v>
                  </c:pt>
                  <c:pt idx="4">
                    <c:v> 15th</c:v>
                  </c:pt>
                  <c:pt idx="5">
                    <c:v> 1st</c:v>
                  </c:pt>
                </c15:dlblRangeCache>
              </c15:datalabelsRange>
            </c:ext>
          </c:extLst>
        </c:ser>
        <c:ser>
          <c:idx val="13"/>
          <c:order val="13"/>
          <c:tx>
            <c:strRef>
              <c:f>Visualization!$AV$16</c:f>
              <c:strCache>
                <c:ptCount val="1"/>
                <c:pt idx="0">
                  <c:v>SABESP</c:v>
                </c:pt>
              </c:strCache>
            </c:strRef>
          </c:tx>
          <c:spPr>
            <a:ln w="12700"/>
          </c:spPr>
          <c:marker>
            <c:symbol val="circle"/>
            <c:size val="30"/>
          </c:marker>
          <c:dPt>
            <c:idx val="0"/>
            <c:marker>
              <c:symbol val="circle"/>
              <c:size val="35"/>
            </c:marker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1B-A143-4400-B597-5E231FA28F28}"/>
              </c:ext>
            </c:extLst>
          </c:dPt>
          <c:dLbls>
            <c:dLbl>
              <c:idx val="0"/>
              <c:layout/>
              <c:dLblPos val="l"/>
              <c:showLegendKey val="0"/>
              <c:showVal val="0"/>
              <c:showCatName val="0"/>
              <c:showSerName val="1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B-A143-4400-B597-5E231FA28F2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fld id="{CF3E9DEF-C22A-4D36-950C-C603EDF93896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4F-9380-47DA-840A-FE32AAC961DC}"/>
                </c:ex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fld id="{02E6370D-E7B5-44EA-889D-3F33D8E9EA8A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75985484-3B67-423D-9F8E-6F525CC3EDFC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fld id="{2847AB48-6C42-47B9-A781-A50B6CCD4E33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5"/>
              <c:layout/>
              <c:tx>
                <c:rich>
                  <a:bodyPr/>
                  <a:lstStyle/>
                  <a:p>
                    <a:fld id="{2562ED86-AD92-46C5-8877-2354FC5A0A63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/>
                </a:pPr>
                <a:endParaRPr lang="pt-BR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DataLabelsRange val="1"/>
                <c15:showLeaderLines val="1"/>
              </c:ext>
            </c:extLst>
          </c:dLbls>
          <c:cat>
            <c:strRef>
              <c:f>Visualization!$AW$2:$BB$2</c:f>
              <c:strCache>
                <c:ptCount val="6"/>
                <c:pt idx="0">
                  <c:v>WWT Company ordered</c:v>
                </c:pt>
                <c:pt idx="1">
                  <c:v>Sector 1</c:v>
                </c:pt>
                <c:pt idx="2">
                  <c:v>Sector 2</c:v>
                </c:pt>
                <c:pt idx="3">
                  <c:v>Sector 3</c:v>
                </c:pt>
                <c:pt idx="4">
                  <c:v>Sector 4</c:v>
                </c:pt>
                <c:pt idx="5">
                  <c:v>Sector 5</c:v>
                </c:pt>
              </c:strCache>
            </c:strRef>
          </c:cat>
          <c:val>
            <c:numRef>
              <c:f>Visualization!$AW$16:$BB$16</c:f>
              <c:numCache>
                <c:formatCode>0</c:formatCode>
                <c:ptCount val="6"/>
                <c:pt idx="0">
                  <c:v>14</c:v>
                </c:pt>
                <c:pt idx="1">
                  <c:v>14</c:v>
                </c:pt>
                <c:pt idx="2">
                  <c:v>3</c:v>
                </c:pt>
                <c:pt idx="3">
                  <c:v>11</c:v>
                </c:pt>
                <c:pt idx="4">
                  <c:v>19</c:v>
                </c:pt>
                <c:pt idx="5">
                  <c:v>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C-A143-4400-B597-5E231FA28F28}"/>
            </c:ext>
            <c:ext xmlns:c15="http://schemas.microsoft.com/office/drawing/2012/chart" uri="{02D57815-91ED-43cb-92C2-25804820EDAC}">
              <c15:datalabelsRange>
                <c15:f>Visualization!$BC$16:$BH$16</c15:f>
                <c15:dlblRangeCache>
                  <c:ptCount val="6"/>
                  <c:pt idx="0">
                    <c:v> 14th</c:v>
                  </c:pt>
                  <c:pt idx="1">
                    <c:v> 14th</c:v>
                  </c:pt>
                  <c:pt idx="2">
                    <c:v> 3rd</c:v>
                  </c:pt>
                  <c:pt idx="3">
                    <c:v> 11th</c:v>
                  </c:pt>
                  <c:pt idx="4">
                    <c:v> 19th</c:v>
                  </c:pt>
                  <c:pt idx="5">
                    <c:v> 17th</c:v>
                  </c:pt>
                </c15:dlblRangeCache>
              </c15:datalabelsRange>
            </c:ext>
          </c:extLst>
        </c:ser>
        <c:ser>
          <c:idx val="14"/>
          <c:order val="14"/>
          <c:tx>
            <c:strRef>
              <c:f>Visualization!$AV$17</c:f>
              <c:strCache>
                <c:ptCount val="1"/>
                <c:pt idx="0">
                  <c:v>CAERN</c:v>
                </c:pt>
              </c:strCache>
            </c:strRef>
          </c:tx>
          <c:spPr>
            <a:ln w="12700"/>
          </c:spPr>
          <c:marker>
            <c:symbol val="circle"/>
            <c:size val="30"/>
          </c:marker>
          <c:dPt>
            <c:idx val="0"/>
            <c:marker>
              <c:symbol val="circle"/>
              <c:size val="35"/>
            </c:marker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1D-A143-4400-B597-5E231FA28F28}"/>
              </c:ext>
            </c:extLst>
          </c:dPt>
          <c:dLbls>
            <c:dLbl>
              <c:idx val="0"/>
              <c:layout/>
              <c:dLblPos val="l"/>
              <c:showLegendKey val="0"/>
              <c:showVal val="0"/>
              <c:showCatName val="0"/>
              <c:showSerName val="1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D-A143-4400-B597-5E231FA28F2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fld id="{55D7EDDE-888F-4ADC-921C-C58EDA4E1978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55-9380-47DA-840A-FE32AAC961DC}"/>
                </c:ex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fld id="{4CC81594-125F-47DB-8DD4-1AD407E17EDF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5B3580C7-8B5D-4779-8716-E1B78B0219CF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fld id="{A9A6F33B-5753-469D-9C10-498E76E1CBBB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5"/>
              <c:layout/>
              <c:tx>
                <c:rich>
                  <a:bodyPr/>
                  <a:lstStyle/>
                  <a:p>
                    <a:fld id="{20EA7EED-2ABE-449F-8AB9-0932A413807C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/>
                </a:pPr>
                <a:endParaRPr lang="pt-BR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DataLabelsRange val="1"/>
                <c15:showLeaderLines val="1"/>
              </c:ext>
            </c:extLst>
          </c:dLbls>
          <c:cat>
            <c:strRef>
              <c:f>Visualization!$AW$2:$BB$2</c:f>
              <c:strCache>
                <c:ptCount val="6"/>
                <c:pt idx="0">
                  <c:v>WWT Company ordered</c:v>
                </c:pt>
                <c:pt idx="1">
                  <c:v>Sector 1</c:v>
                </c:pt>
                <c:pt idx="2">
                  <c:v>Sector 2</c:v>
                </c:pt>
                <c:pt idx="3">
                  <c:v>Sector 3</c:v>
                </c:pt>
                <c:pt idx="4">
                  <c:v>Sector 4</c:v>
                </c:pt>
                <c:pt idx="5">
                  <c:v>Sector 5</c:v>
                </c:pt>
              </c:strCache>
            </c:strRef>
          </c:cat>
          <c:val>
            <c:numRef>
              <c:f>Visualization!$AW$17:$BB$17</c:f>
              <c:numCache>
                <c:formatCode>0</c:formatCode>
                <c:ptCount val="6"/>
                <c:pt idx="0">
                  <c:v>15</c:v>
                </c:pt>
                <c:pt idx="1">
                  <c:v>15</c:v>
                </c:pt>
                <c:pt idx="2">
                  <c:v>16</c:v>
                </c:pt>
                <c:pt idx="3">
                  <c:v>13</c:v>
                </c:pt>
                <c:pt idx="4">
                  <c:v>8</c:v>
                </c:pt>
                <c:pt idx="5">
                  <c:v>16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E-A143-4400-B597-5E231FA28F28}"/>
            </c:ext>
            <c:ext xmlns:c15="http://schemas.microsoft.com/office/drawing/2012/chart" uri="{02D57815-91ED-43cb-92C2-25804820EDAC}">
              <c15:datalabelsRange>
                <c15:f>Visualization!$BC$17:$BH$17</c15:f>
                <c15:dlblRangeCache>
                  <c:ptCount val="6"/>
                  <c:pt idx="0">
                    <c:v> 15th</c:v>
                  </c:pt>
                  <c:pt idx="1">
                    <c:v> 15th</c:v>
                  </c:pt>
                  <c:pt idx="2">
                    <c:v> 16th</c:v>
                  </c:pt>
                  <c:pt idx="3">
                    <c:v> 13th</c:v>
                  </c:pt>
                  <c:pt idx="4">
                    <c:v> 8th</c:v>
                  </c:pt>
                  <c:pt idx="5">
                    <c:v> 16th</c:v>
                  </c:pt>
                </c15:dlblRangeCache>
              </c15:datalabelsRange>
            </c:ext>
          </c:extLst>
        </c:ser>
        <c:ser>
          <c:idx val="15"/>
          <c:order val="15"/>
          <c:tx>
            <c:strRef>
              <c:f>Visualization!$AV$18</c:f>
              <c:strCache>
                <c:ptCount val="1"/>
                <c:pt idx="0">
                  <c:v>CASAL</c:v>
                </c:pt>
              </c:strCache>
            </c:strRef>
          </c:tx>
          <c:spPr>
            <a:ln w="12700"/>
          </c:spPr>
          <c:marker>
            <c:symbol val="circle"/>
            <c:size val="30"/>
          </c:marker>
          <c:dPt>
            <c:idx val="0"/>
            <c:marker>
              <c:symbol val="circle"/>
              <c:size val="35"/>
            </c:marker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1F-A143-4400-B597-5E231FA28F28}"/>
              </c:ext>
            </c:extLst>
          </c:dPt>
          <c:dLbls>
            <c:dLbl>
              <c:idx val="0"/>
              <c:layout/>
              <c:dLblPos val="l"/>
              <c:showLegendKey val="0"/>
              <c:showVal val="0"/>
              <c:showCatName val="0"/>
              <c:showSerName val="1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F-A143-4400-B597-5E231FA28F2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fld id="{788E37CB-94E2-4DF3-ADED-AEF6095C57E0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5B-9380-47DA-840A-FE32AAC961DC}"/>
                </c:ex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fld id="{688015EF-67DB-49EF-88C4-447BDA7129E5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24892941-48C0-463F-8E3C-963865B325AC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fld id="{E18EC211-5E45-408C-897F-A6B1AC0C75C4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5"/>
              <c:layout/>
              <c:tx>
                <c:rich>
                  <a:bodyPr/>
                  <a:lstStyle/>
                  <a:p>
                    <a:fld id="{C6A7D635-D49E-47AD-9808-EBD422D380CD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/>
                </a:pPr>
                <a:endParaRPr lang="pt-BR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DataLabelsRange val="1"/>
                <c15:showLeaderLines val="1"/>
              </c:ext>
            </c:extLst>
          </c:dLbls>
          <c:cat>
            <c:strRef>
              <c:f>Visualization!$AW$2:$BB$2</c:f>
              <c:strCache>
                <c:ptCount val="6"/>
                <c:pt idx="0">
                  <c:v>WWT Company ordered</c:v>
                </c:pt>
                <c:pt idx="1">
                  <c:v>Sector 1</c:v>
                </c:pt>
                <c:pt idx="2">
                  <c:v>Sector 2</c:v>
                </c:pt>
                <c:pt idx="3">
                  <c:v>Sector 3</c:v>
                </c:pt>
                <c:pt idx="4">
                  <c:v>Sector 4</c:v>
                </c:pt>
                <c:pt idx="5">
                  <c:v>Sector 5</c:v>
                </c:pt>
              </c:strCache>
            </c:strRef>
          </c:cat>
          <c:val>
            <c:numRef>
              <c:f>Visualization!$AW$18:$BB$18</c:f>
              <c:numCache>
                <c:formatCode>0</c:formatCode>
                <c:ptCount val="6"/>
                <c:pt idx="0">
                  <c:v>16</c:v>
                </c:pt>
                <c:pt idx="1">
                  <c:v>9</c:v>
                </c:pt>
                <c:pt idx="2">
                  <c:v>20</c:v>
                </c:pt>
                <c:pt idx="3">
                  <c:v>16</c:v>
                </c:pt>
                <c:pt idx="4">
                  <c:v>1</c:v>
                </c:pt>
                <c:pt idx="5">
                  <c:v>15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20-A143-4400-B597-5E231FA28F28}"/>
            </c:ext>
            <c:ext xmlns:c15="http://schemas.microsoft.com/office/drawing/2012/chart" uri="{02D57815-91ED-43cb-92C2-25804820EDAC}">
              <c15:datalabelsRange>
                <c15:f>Visualization!$BC$18:$BH$18</c15:f>
                <c15:dlblRangeCache>
                  <c:ptCount val="6"/>
                  <c:pt idx="0">
                    <c:v> 16th</c:v>
                  </c:pt>
                  <c:pt idx="1">
                    <c:v> 9th</c:v>
                  </c:pt>
                  <c:pt idx="2">
                    <c:v> 20th</c:v>
                  </c:pt>
                  <c:pt idx="3">
                    <c:v> 16th</c:v>
                  </c:pt>
                  <c:pt idx="4">
                    <c:v> 1st</c:v>
                  </c:pt>
                  <c:pt idx="5">
                    <c:v> 15th</c:v>
                  </c:pt>
                </c15:dlblRangeCache>
              </c15:datalabelsRange>
            </c:ext>
          </c:extLst>
        </c:ser>
        <c:ser>
          <c:idx val="16"/>
          <c:order val="16"/>
          <c:tx>
            <c:strRef>
              <c:f>Visualization!$AV$19</c:f>
              <c:strCache>
                <c:ptCount val="1"/>
                <c:pt idx="0">
                  <c:v>CAEMA</c:v>
                </c:pt>
              </c:strCache>
            </c:strRef>
          </c:tx>
          <c:spPr>
            <a:ln w="12700">
              <a:solidFill>
                <a:schemeClr val="accent1"/>
              </a:solidFill>
            </a:ln>
          </c:spPr>
          <c:marker>
            <c:symbol val="circle"/>
            <c:size val="30"/>
          </c:marker>
          <c:dPt>
            <c:idx val="0"/>
            <c:marker>
              <c:symbol val="circle"/>
              <c:size val="35"/>
            </c:marker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21-A143-4400-B597-5E231FA28F28}"/>
              </c:ext>
            </c:extLst>
          </c:dPt>
          <c:dLbls>
            <c:dLbl>
              <c:idx val="0"/>
              <c:layout/>
              <c:dLblPos val="l"/>
              <c:showLegendKey val="0"/>
              <c:showVal val="0"/>
              <c:showCatName val="0"/>
              <c:showSerName val="1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1-A143-4400-B597-5E231FA28F2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fld id="{8D4D555D-CFEA-464B-831A-FB99F4CC2DC4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61-9380-47DA-840A-FE32AAC961DC}"/>
                </c:ex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fld id="{62875DAA-3590-4560-BD88-A0BD4628BCF6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D802E3EA-D5FB-4FCC-A634-3209370A6853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fld id="{26EB1A8B-5EE4-4BF3-B2A4-EF32F13F0A37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5"/>
              <c:layout/>
              <c:tx>
                <c:rich>
                  <a:bodyPr/>
                  <a:lstStyle/>
                  <a:p>
                    <a:fld id="{33C57942-B3B5-4DDE-BF1A-03C861575A7C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/>
                </a:pPr>
                <a:endParaRPr lang="pt-BR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DataLabelsRange val="1"/>
                <c15:showLeaderLines val="1"/>
              </c:ext>
            </c:extLst>
          </c:dLbls>
          <c:cat>
            <c:strRef>
              <c:f>Visualization!$AW$2:$BB$2</c:f>
              <c:strCache>
                <c:ptCount val="6"/>
                <c:pt idx="0">
                  <c:v>WWT Company ordered</c:v>
                </c:pt>
                <c:pt idx="1">
                  <c:v>Sector 1</c:v>
                </c:pt>
                <c:pt idx="2">
                  <c:v>Sector 2</c:v>
                </c:pt>
                <c:pt idx="3">
                  <c:v>Sector 3</c:v>
                </c:pt>
                <c:pt idx="4">
                  <c:v>Sector 4</c:v>
                </c:pt>
                <c:pt idx="5">
                  <c:v>Sector 5</c:v>
                </c:pt>
              </c:strCache>
            </c:strRef>
          </c:cat>
          <c:val>
            <c:numRef>
              <c:f>Visualization!$AW$19:$BB$19</c:f>
              <c:numCache>
                <c:formatCode>0</c:formatCode>
                <c:ptCount val="6"/>
                <c:pt idx="0">
                  <c:v>17</c:v>
                </c:pt>
                <c:pt idx="1">
                  <c:v>18</c:v>
                </c:pt>
                <c:pt idx="2">
                  <c:v>14</c:v>
                </c:pt>
                <c:pt idx="3">
                  <c:v>18</c:v>
                </c:pt>
                <c:pt idx="4">
                  <c:v>2</c:v>
                </c:pt>
                <c:pt idx="5">
                  <c:v>19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22-A143-4400-B597-5E231FA28F28}"/>
            </c:ext>
            <c:ext xmlns:c15="http://schemas.microsoft.com/office/drawing/2012/chart" uri="{02D57815-91ED-43cb-92C2-25804820EDAC}">
              <c15:datalabelsRange>
                <c15:f>Visualization!$BC$19:$BH$19</c15:f>
                <c15:dlblRangeCache>
                  <c:ptCount val="6"/>
                  <c:pt idx="0">
                    <c:v> 17th</c:v>
                  </c:pt>
                  <c:pt idx="1">
                    <c:v> 18th</c:v>
                  </c:pt>
                  <c:pt idx="2">
                    <c:v> 14th</c:v>
                  </c:pt>
                  <c:pt idx="3">
                    <c:v> 18th</c:v>
                  </c:pt>
                  <c:pt idx="4">
                    <c:v> 2nd</c:v>
                  </c:pt>
                  <c:pt idx="5">
                    <c:v> 19th</c:v>
                  </c:pt>
                </c15:dlblRangeCache>
              </c15:datalabelsRange>
            </c:ext>
          </c:extLst>
        </c:ser>
        <c:ser>
          <c:idx val="17"/>
          <c:order val="17"/>
          <c:tx>
            <c:strRef>
              <c:f>Visualization!$AV$20</c:f>
              <c:strCache>
                <c:ptCount val="1"/>
                <c:pt idx="0">
                  <c:v>AGESPISA</c:v>
                </c:pt>
              </c:strCache>
            </c:strRef>
          </c:tx>
          <c:spPr>
            <a:ln w="12700"/>
          </c:spPr>
          <c:marker>
            <c:symbol val="circle"/>
            <c:size val="30"/>
          </c:marker>
          <c:dPt>
            <c:idx val="0"/>
            <c:marker>
              <c:symbol val="circle"/>
              <c:size val="35"/>
            </c:marker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23-A143-4400-B597-5E231FA28F28}"/>
              </c:ext>
            </c:extLst>
          </c:dPt>
          <c:dLbls>
            <c:dLbl>
              <c:idx val="0"/>
              <c:layout/>
              <c:dLblPos val="l"/>
              <c:showLegendKey val="0"/>
              <c:showVal val="0"/>
              <c:showCatName val="0"/>
              <c:showSerName val="1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3-A143-4400-B597-5E231FA28F2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fld id="{E4CD03C5-89E6-49A0-AB20-03DD53FFF617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67-9380-47DA-840A-FE32AAC961DC}"/>
                </c:ex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fld id="{8EFB2019-FD06-4A9D-86A2-849EA9A2B1E0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B3FD604D-53E8-46D1-B1B7-38275A534C44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fld id="{C7643A73-84B1-40C3-AA4E-C6236D72DAF5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5"/>
              <c:layout/>
              <c:tx>
                <c:rich>
                  <a:bodyPr/>
                  <a:lstStyle/>
                  <a:p>
                    <a:fld id="{24B900F2-98C6-4A46-B20C-830A12CD13F6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/>
                </a:pPr>
                <a:endParaRPr lang="pt-BR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DataLabelsRange val="1"/>
                <c15:showLeaderLines val="1"/>
              </c:ext>
            </c:extLst>
          </c:dLbls>
          <c:cat>
            <c:strRef>
              <c:f>Visualization!$AW$2:$BB$2</c:f>
              <c:strCache>
                <c:ptCount val="6"/>
                <c:pt idx="0">
                  <c:v>WWT Company ordered</c:v>
                </c:pt>
                <c:pt idx="1">
                  <c:v>Sector 1</c:v>
                </c:pt>
                <c:pt idx="2">
                  <c:v>Sector 2</c:v>
                </c:pt>
                <c:pt idx="3">
                  <c:v>Sector 3</c:v>
                </c:pt>
                <c:pt idx="4">
                  <c:v>Sector 4</c:v>
                </c:pt>
                <c:pt idx="5">
                  <c:v>Sector 5</c:v>
                </c:pt>
              </c:strCache>
            </c:strRef>
          </c:cat>
          <c:val>
            <c:numRef>
              <c:f>Visualization!$AW$20:$BB$20</c:f>
              <c:numCache>
                <c:formatCode>0</c:formatCode>
                <c:ptCount val="6"/>
                <c:pt idx="0">
                  <c:v>18</c:v>
                </c:pt>
                <c:pt idx="1">
                  <c:v>16</c:v>
                </c:pt>
                <c:pt idx="2">
                  <c:v>1</c:v>
                </c:pt>
                <c:pt idx="3">
                  <c:v>19</c:v>
                </c:pt>
                <c:pt idx="4">
                  <c:v>4</c:v>
                </c:pt>
                <c:pt idx="5">
                  <c:v>14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24-A143-4400-B597-5E231FA28F28}"/>
            </c:ext>
            <c:ext xmlns:c15="http://schemas.microsoft.com/office/drawing/2012/chart" uri="{02D57815-91ED-43cb-92C2-25804820EDAC}">
              <c15:datalabelsRange>
                <c15:f>Visualization!$BC$20:$BH$20</c15:f>
                <c15:dlblRangeCache>
                  <c:ptCount val="6"/>
                  <c:pt idx="0">
                    <c:v> 18th</c:v>
                  </c:pt>
                  <c:pt idx="1">
                    <c:v> 16th</c:v>
                  </c:pt>
                  <c:pt idx="2">
                    <c:v> 1st</c:v>
                  </c:pt>
                  <c:pt idx="3">
                    <c:v> 19th</c:v>
                  </c:pt>
                  <c:pt idx="4">
                    <c:v> 4th</c:v>
                  </c:pt>
                  <c:pt idx="5">
                    <c:v> 14th</c:v>
                  </c:pt>
                </c15:dlblRangeCache>
              </c15:datalabelsRange>
            </c:ext>
          </c:extLst>
        </c:ser>
        <c:ser>
          <c:idx val="18"/>
          <c:order val="18"/>
          <c:tx>
            <c:strRef>
              <c:f>Visualization!$AV$21</c:f>
              <c:strCache>
                <c:ptCount val="1"/>
                <c:pt idx="0">
                  <c:v>CAGECE</c:v>
                </c:pt>
              </c:strCache>
            </c:strRef>
          </c:tx>
          <c:spPr>
            <a:ln w="12700"/>
          </c:spPr>
          <c:marker>
            <c:symbol val="circle"/>
            <c:size val="30"/>
          </c:marker>
          <c:dPt>
            <c:idx val="0"/>
            <c:marker>
              <c:symbol val="circle"/>
              <c:size val="35"/>
            </c:marker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25-A143-4400-B597-5E231FA28F28}"/>
              </c:ext>
            </c:extLst>
          </c:dPt>
          <c:dLbls>
            <c:dLbl>
              <c:idx val="0"/>
              <c:layout/>
              <c:dLblPos val="l"/>
              <c:showLegendKey val="0"/>
              <c:showVal val="0"/>
              <c:showCatName val="0"/>
              <c:showSerName val="1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5-A143-4400-B597-5E231FA28F2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fld id="{CFAA57D8-67D0-4046-A09F-D2FB0E880AF9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6D-9380-47DA-840A-FE32AAC961DC}"/>
                </c:ex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fld id="{8965144E-5B19-45B1-840A-6A523C795BAE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FA0CEB19-5A50-4ABA-A419-43D4626BE201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fld id="{6F778B09-DE10-4B03-89AB-7F069591D30C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5"/>
              <c:layout/>
              <c:tx>
                <c:rich>
                  <a:bodyPr/>
                  <a:lstStyle/>
                  <a:p>
                    <a:fld id="{B4130F08-8ACB-4AD9-85DB-34401EAF49A3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/>
                </a:pPr>
                <a:endParaRPr lang="pt-BR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DataLabelsRange val="1"/>
                <c15:showLeaderLines val="1"/>
              </c:ext>
            </c:extLst>
          </c:dLbls>
          <c:cat>
            <c:strRef>
              <c:f>Visualization!$AW$2:$BB$2</c:f>
              <c:strCache>
                <c:ptCount val="6"/>
                <c:pt idx="0">
                  <c:v>WWT Company ordered</c:v>
                </c:pt>
                <c:pt idx="1">
                  <c:v>Sector 1</c:v>
                </c:pt>
                <c:pt idx="2">
                  <c:v>Sector 2</c:v>
                </c:pt>
                <c:pt idx="3">
                  <c:v>Sector 3</c:v>
                </c:pt>
                <c:pt idx="4">
                  <c:v>Sector 4</c:v>
                </c:pt>
                <c:pt idx="5">
                  <c:v>Sector 5</c:v>
                </c:pt>
              </c:strCache>
            </c:strRef>
          </c:cat>
          <c:val>
            <c:numRef>
              <c:f>Visualization!$AW$21:$BB$21</c:f>
              <c:numCache>
                <c:formatCode>0</c:formatCode>
                <c:ptCount val="6"/>
                <c:pt idx="0">
                  <c:v>19</c:v>
                </c:pt>
                <c:pt idx="1">
                  <c:v>2</c:v>
                </c:pt>
                <c:pt idx="2">
                  <c:v>6</c:v>
                </c:pt>
                <c:pt idx="3">
                  <c:v>20</c:v>
                </c:pt>
                <c:pt idx="4">
                  <c:v>17</c:v>
                </c:pt>
                <c:pt idx="5">
                  <c:v>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26-A143-4400-B597-5E231FA28F28}"/>
            </c:ext>
            <c:ext xmlns:c15="http://schemas.microsoft.com/office/drawing/2012/chart" uri="{02D57815-91ED-43cb-92C2-25804820EDAC}">
              <c15:datalabelsRange>
                <c15:f>Visualization!$BC$21:$BH$21</c15:f>
                <c15:dlblRangeCache>
                  <c:ptCount val="6"/>
                  <c:pt idx="0">
                    <c:v> 19th</c:v>
                  </c:pt>
                  <c:pt idx="1">
                    <c:v> 2nd</c:v>
                  </c:pt>
                  <c:pt idx="2">
                    <c:v> 6th</c:v>
                  </c:pt>
                  <c:pt idx="3">
                    <c:v> 20th</c:v>
                  </c:pt>
                  <c:pt idx="4">
                    <c:v> 17th</c:v>
                  </c:pt>
                  <c:pt idx="5">
                    <c:v> 8th</c:v>
                  </c:pt>
                </c15:dlblRangeCache>
              </c15:datalabelsRange>
            </c:ext>
          </c:extLst>
        </c:ser>
        <c:ser>
          <c:idx val="19"/>
          <c:order val="19"/>
          <c:tx>
            <c:strRef>
              <c:f>Visualization!$AV$22</c:f>
              <c:strCache>
                <c:ptCount val="1"/>
                <c:pt idx="0">
                  <c:v>DESO</c:v>
                </c:pt>
              </c:strCache>
            </c:strRef>
          </c:tx>
          <c:spPr>
            <a:ln w="12700"/>
          </c:spPr>
          <c:marker>
            <c:symbol val="circle"/>
            <c:size val="30"/>
          </c:marker>
          <c:dPt>
            <c:idx val="0"/>
            <c:marker>
              <c:symbol val="circle"/>
              <c:size val="35"/>
            </c:marker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27-A143-4400-B597-5E231FA28F28}"/>
              </c:ext>
            </c:extLst>
          </c:dPt>
          <c:dLbls>
            <c:dLbl>
              <c:idx val="0"/>
              <c:layout/>
              <c:dLblPos val="l"/>
              <c:showLegendKey val="0"/>
              <c:showVal val="0"/>
              <c:showCatName val="0"/>
              <c:showSerName val="1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7-A143-4400-B597-5E231FA28F2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fld id="{0232CB6B-AFDB-403C-BC11-0AEFE5FCBA68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73-9380-47DA-840A-FE32AAC961DC}"/>
                </c:ex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fld id="{DE8FAD2A-4D12-47EC-96CA-99192AD9FC8A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7CFB7FB8-4599-41D7-AD40-0A3901F27EAB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fld id="{33741AA5-D753-4B46-BFF3-A51A30420C7C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5"/>
              <c:layout/>
              <c:tx>
                <c:rich>
                  <a:bodyPr/>
                  <a:lstStyle/>
                  <a:p>
                    <a:fld id="{5470C897-8070-4414-9F53-0D7C9BE9EFAA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/>
                </a:pPr>
                <a:endParaRPr lang="pt-BR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DataLabelsRange val="1"/>
                <c15:showLeaderLines val="1"/>
              </c:ext>
            </c:extLst>
          </c:dLbls>
          <c:cat>
            <c:strRef>
              <c:f>Visualization!$AW$2:$BB$2</c:f>
              <c:strCache>
                <c:ptCount val="6"/>
                <c:pt idx="0">
                  <c:v>WWT Company ordered</c:v>
                </c:pt>
                <c:pt idx="1">
                  <c:v>Sector 1</c:v>
                </c:pt>
                <c:pt idx="2">
                  <c:v>Sector 2</c:v>
                </c:pt>
                <c:pt idx="3">
                  <c:v>Sector 3</c:v>
                </c:pt>
                <c:pt idx="4">
                  <c:v>Sector 4</c:v>
                </c:pt>
                <c:pt idx="5">
                  <c:v>Sector 5</c:v>
                </c:pt>
              </c:strCache>
            </c:strRef>
          </c:cat>
          <c:val>
            <c:numRef>
              <c:f>Visualization!$AW$22:$BB$22</c:f>
              <c:numCache>
                <c:formatCode>0</c:formatCode>
                <c:ptCount val="6"/>
                <c:pt idx="0">
                  <c:v>20</c:v>
                </c:pt>
                <c:pt idx="1">
                  <c:v>20</c:v>
                </c:pt>
                <c:pt idx="2">
                  <c:v>18</c:v>
                </c:pt>
                <c:pt idx="3">
                  <c:v>17</c:v>
                </c:pt>
                <c:pt idx="4">
                  <c:v>6</c:v>
                </c:pt>
                <c:pt idx="5">
                  <c:v>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28-A143-4400-B597-5E231FA28F28}"/>
            </c:ext>
            <c:ext xmlns:c15="http://schemas.microsoft.com/office/drawing/2012/chart" uri="{02D57815-91ED-43cb-92C2-25804820EDAC}">
              <c15:datalabelsRange>
                <c15:f>Visualization!$BC$22:$BH$22</c15:f>
                <c15:dlblRangeCache>
                  <c:ptCount val="6"/>
                  <c:pt idx="0">
                    <c:v> 20th</c:v>
                  </c:pt>
                  <c:pt idx="1">
                    <c:v> 20th</c:v>
                  </c:pt>
                  <c:pt idx="2">
                    <c:v> 18th</c:v>
                  </c:pt>
                  <c:pt idx="3">
                    <c:v> 17th</c:v>
                  </c:pt>
                  <c:pt idx="4">
                    <c:v> 6th</c:v>
                  </c:pt>
                  <c:pt idx="5">
                    <c:v> 4th</c:v>
                  </c:pt>
                </c15:dlblRangeCache>
              </c15:datalabelsRange>
            </c:ext>
          </c:extLst>
        </c:ser>
        <c:ser>
          <c:idx val="20"/>
          <c:order val="20"/>
          <c:spPr>
            <a:ln>
              <a:noFill/>
            </a:ln>
          </c:spPr>
          <c:marker>
            <c:symbol val="none"/>
          </c:marker>
          <c:dLbls>
            <c:dLbl>
              <c:idx val="0"/>
              <c:layout/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 sz="1000"/>
                    </a:pPr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A-45B2-4133-9AEB-098853D3E5E1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D-45B2-4133-9AEB-098853D3E5E1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E-45B2-4133-9AEB-098853D3E5E1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F-45B2-4133-9AEB-098853D3E5E1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0-45B2-4133-9AEB-098853D3E5E1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1-45B2-4133-9AEB-098853D3E5E1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dLblPos val="ctr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DataLabelsRange val="1"/>
                <c15:showLeaderLines val="1"/>
              </c:ext>
            </c:extLst>
          </c:dLbls>
          <c:val>
            <c:numRef>
              <c:f>Visualization!$AW$3:$BB$3</c:f>
              <c:numCache>
                <c:formatCode>0</c:formatCode>
                <c:ptCount val="6"/>
                <c:pt idx="0">
                  <c:v>1</c:v>
                </c:pt>
                <c:pt idx="1">
                  <c:v>8</c:v>
                </c:pt>
                <c:pt idx="2">
                  <c:v>12</c:v>
                </c:pt>
                <c:pt idx="3">
                  <c:v>1</c:v>
                </c:pt>
                <c:pt idx="4">
                  <c:v>7</c:v>
                </c:pt>
                <c:pt idx="5">
                  <c:v>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5-45B2-4133-9AEB-098853D3E5E1}"/>
            </c:ext>
          </c:extLst>
        </c:ser>
        <c:ser>
          <c:idx val="21"/>
          <c:order val="21"/>
          <c:spPr>
            <a:ln>
              <a:noFill/>
            </a:ln>
          </c:spPr>
          <c:marker>
            <c:symbol val="none"/>
          </c:marker>
          <c:dLbls>
            <c:dLbl>
              <c:idx val="0"/>
              <c:layout/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 sz="1000"/>
                    </a:pPr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B-45B2-4133-9AEB-098853D3E5E1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2-45B2-4133-9AEB-098853D3E5E1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3-45B2-4133-9AEB-098853D3E5E1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4-45B2-4133-9AEB-098853D3E5E1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5-45B2-4133-9AEB-098853D3E5E1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6-45B2-4133-9AEB-098853D3E5E1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dLblPos val="ctr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DataLabelsRange val="1"/>
                <c15:showLeaderLines val="1"/>
              </c:ext>
            </c:extLst>
          </c:dLbls>
          <c:val>
            <c:numRef>
              <c:f>Visualization!$AW$4:$BB$4</c:f>
              <c:numCache>
                <c:formatCode>0</c:formatCode>
                <c:ptCount val="6"/>
                <c:pt idx="0">
                  <c:v>2</c:v>
                </c:pt>
                <c:pt idx="1">
                  <c:v>11</c:v>
                </c:pt>
                <c:pt idx="2">
                  <c:v>4</c:v>
                </c:pt>
                <c:pt idx="3">
                  <c:v>4</c:v>
                </c:pt>
                <c:pt idx="4">
                  <c:v>10</c:v>
                </c:pt>
                <c:pt idx="5">
                  <c:v>12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8-45B2-4133-9AEB-098853D3E5E1}"/>
            </c:ext>
          </c:extLst>
        </c:ser>
        <c:ser>
          <c:idx val="22"/>
          <c:order val="22"/>
          <c:spPr>
            <a:ln>
              <a:noFill/>
            </a:ln>
          </c:spPr>
          <c:marker>
            <c:symbol val="none"/>
          </c:marker>
          <c:dLbls>
            <c:dLbl>
              <c:idx val="0"/>
              <c:layout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C-45B2-4133-9AEB-098853D3E5E1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7-45B2-4133-9AEB-098853D3E5E1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8-45B2-4133-9AEB-098853D3E5E1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9-45B2-4133-9AEB-098853D3E5E1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A-45B2-4133-9AEB-098853D3E5E1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ctr">
                  <a:defRPr lang="x-none"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DataLabelsRange val="1"/>
                <c15:showLeaderLines val="1"/>
              </c:ext>
            </c:extLst>
          </c:dLbls>
          <c:val>
            <c:numRef>
              <c:f>Visualization!$AW$5:$BA$5</c:f>
              <c:numCache>
                <c:formatCode>0</c:formatCode>
                <c:ptCount val="5"/>
                <c:pt idx="0">
                  <c:v>3</c:v>
                </c:pt>
                <c:pt idx="1">
                  <c:v>7</c:v>
                </c:pt>
                <c:pt idx="2">
                  <c:v>2</c:v>
                </c:pt>
                <c:pt idx="3">
                  <c:v>5</c:v>
                </c:pt>
                <c:pt idx="4">
                  <c:v>14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9-45B2-4133-9AEB-098853D3E5E1}"/>
            </c:ext>
          </c:extLst>
        </c:ser>
        <c:ser>
          <c:idx val="23"/>
          <c:order val="23"/>
          <c:spPr>
            <a:ln>
              <a:noFill/>
            </a:ln>
          </c:spPr>
          <c:marker>
            <c:symbol val="none"/>
          </c:marker>
          <c:dLbls>
            <c:dLbl>
              <c:idx val="0"/>
              <c:layout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78-9380-47DA-840A-FE32AAC961D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0-6E1C-47D8-880B-403015DD5009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1-6E1C-47D8-880B-403015DD5009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2-6E1C-47D8-880B-403015DD5009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3-6E1C-47D8-880B-403015DD5009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4-6E1C-47D8-880B-403015DD5009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ctr" rtl="0">
                  <a:defRPr lang="x-none"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DataLabelsRange val="1"/>
                <c15:showLeaderLines val="1"/>
              </c:ext>
            </c:extLst>
          </c:dLbls>
          <c:val>
            <c:numRef>
              <c:f>Visualization!$AW$6:$BB$6</c:f>
              <c:numCache>
                <c:formatCode>0</c:formatCode>
                <c:ptCount val="6"/>
                <c:pt idx="0">
                  <c:v>4</c:v>
                </c:pt>
                <c:pt idx="1">
                  <c:v>4</c:v>
                </c:pt>
                <c:pt idx="2">
                  <c:v>11</c:v>
                </c:pt>
                <c:pt idx="3">
                  <c:v>7</c:v>
                </c:pt>
                <c:pt idx="4">
                  <c:v>12</c:v>
                </c:pt>
                <c:pt idx="5">
                  <c:v>18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6-6E1C-47D8-880B-403015DD5009}"/>
            </c:ext>
          </c:extLst>
        </c:ser>
        <c:ser>
          <c:idx val="24"/>
          <c:order val="24"/>
          <c:spPr>
            <a:ln>
              <a:noFill/>
            </a:ln>
          </c:spPr>
          <c:marker>
            <c:symbol val="none"/>
          </c:marker>
          <c:dLbls>
            <c:dLbl>
              <c:idx val="0"/>
              <c:layout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6-6E1C-47D8-880B-403015DD5009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7-6E1C-47D8-880B-403015DD5009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79-9380-47DA-840A-FE32AAC961D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9-6E1C-47D8-880B-403015DD5009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A-6E1C-47D8-880B-403015DD5009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B-6E1C-47D8-880B-403015DD5009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/>
                </a:pPr>
                <a:endParaRPr lang="pt-BR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DataLabelsRange val="1"/>
                <c15:showLeaderLines val="1"/>
              </c:ext>
            </c:extLst>
          </c:dLbls>
          <c:val>
            <c:numRef>
              <c:f>Visualization!$AW$7:$BB$7</c:f>
              <c:numCache>
                <c:formatCode>0</c:formatCode>
                <c:ptCount val="6"/>
                <c:pt idx="0">
                  <c:v>5</c:v>
                </c:pt>
                <c:pt idx="1">
                  <c:v>3</c:v>
                </c:pt>
                <c:pt idx="2">
                  <c:v>17</c:v>
                </c:pt>
                <c:pt idx="3">
                  <c:v>8</c:v>
                </c:pt>
                <c:pt idx="4">
                  <c:v>3</c:v>
                </c:pt>
                <c:pt idx="5">
                  <c:v>20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25-6E1C-47D8-880B-403015DD5009}"/>
            </c:ext>
          </c:extLst>
        </c:ser>
        <c:ser>
          <c:idx val="25"/>
          <c:order val="25"/>
          <c:spPr>
            <a:ln>
              <a:noFill/>
            </a:ln>
          </c:spPr>
          <c:marker>
            <c:symbol val="none"/>
          </c:marker>
          <c:dLbls>
            <c:dLbl>
              <c:idx val="0"/>
              <c:layout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D-6E1C-47D8-880B-403015DD5009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E-6E1C-47D8-880B-403015DD5009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F-6E1C-47D8-880B-403015DD5009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30-6E1C-47D8-880B-403015DD5009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31-6E1C-47D8-880B-403015DD5009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32-6E1C-47D8-880B-403015DD5009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/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DataLabelsRange val="1"/>
                <c15:showLeaderLines val="1"/>
              </c:ext>
            </c:extLst>
          </c:dLbls>
          <c:val>
            <c:numRef>
              <c:f>Visualization!$AW$8:$BB$8</c:f>
              <c:numCache>
                <c:formatCode>0</c:formatCode>
                <c:ptCount val="6"/>
                <c:pt idx="0">
                  <c:v>6</c:v>
                </c:pt>
                <c:pt idx="1">
                  <c:v>1</c:v>
                </c:pt>
                <c:pt idx="2">
                  <c:v>9</c:v>
                </c:pt>
                <c:pt idx="3">
                  <c:v>14</c:v>
                </c:pt>
                <c:pt idx="4">
                  <c:v>9</c:v>
                </c:pt>
                <c:pt idx="5">
                  <c:v>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2C-6E1C-47D8-880B-403015DD5009}"/>
            </c:ext>
          </c:extLst>
        </c:ser>
        <c:ser>
          <c:idx val="26"/>
          <c:order val="26"/>
          <c:spPr>
            <a:ln>
              <a:noFill/>
            </a:ln>
          </c:spPr>
          <c:marker>
            <c:symbol val="none"/>
          </c:marker>
          <c:dLbls>
            <c:dLbl>
              <c:idx val="0"/>
              <c:layout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5-33E4-49C9-8120-85BBD8C82DB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6-33E4-49C9-8120-85BBD8C82DB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7-33E4-49C9-8120-85BBD8C82DB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8-33E4-49C9-8120-85BBD8C82DB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9-33E4-49C9-8120-85BBD8C82DB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A-33E4-49C9-8120-85BBD8C82DB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/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DataLabelsRange val="1"/>
                <c15:showLeaderLines val="1"/>
              </c:ext>
            </c:extLst>
          </c:dLbls>
          <c:val>
            <c:numRef>
              <c:f>Visualization!$AW$9:$BB$9</c:f>
              <c:numCache>
                <c:formatCode>0</c:formatCode>
                <c:ptCount val="6"/>
                <c:pt idx="0">
                  <c:v>7</c:v>
                </c:pt>
                <c:pt idx="1">
                  <c:v>6</c:v>
                </c:pt>
                <c:pt idx="2">
                  <c:v>13</c:v>
                </c:pt>
                <c:pt idx="3">
                  <c:v>15</c:v>
                </c:pt>
                <c:pt idx="4">
                  <c:v>5</c:v>
                </c:pt>
                <c:pt idx="5">
                  <c:v>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4-33E4-49C9-8120-85BBD8C82DB5}"/>
            </c:ext>
          </c:extLst>
        </c:ser>
        <c:ser>
          <c:idx val="27"/>
          <c:order val="27"/>
          <c:spPr>
            <a:ln>
              <a:noFill/>
            </a:ln>
          </c:spPr>
          <c:marker>
            <c:symbol val="none"/>
          </c:marker>
          <c:dLbls>
            <c:dLbl>
              <c:idx val="0"/>
              <c:layout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7A-9380-47DA-840A-FE32AAC961D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D-33E4-49C9-8120-85BBD8C82DB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F-33E4-49C9-8120-85BBD8C82DB5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0-33E4-49C9-8120-85BBD8C82DB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1-33E4-49C9-8120-85BBD8C82DB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2-33E4-49C9-8120-85BBD8C82DB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/>
                </a:pPr>
                <a:endParaRPr lang="pt-BR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DataLabelsRange val="1"/>
                <c15:showLeaderLines val="1"/>
              </c:ext>
            </c:extLst>
          </c:dLbls>
          <c:val>
            <c:numRef>
              <c:f>Visualization!$AW$10:$BB$10</c:f>
              <c:numCache>
                <c:formatCode>0</c:formatCode>
                <c:ptCount val="6"/>
                <c:pt idx="0">
                  <c:v>8</c:v>
                </c:pt>
                <c:pt idx="1">
                  <c:v>10</c:v>
                </c:pt>
                <c:pt idx="2">
                  <c:v>7</c:v>
                </c:pt>
                <c:pt idx="3">
                  <c:v>10</c:v>
                </c:pt>
                <c:pt idx="4">
                  <c:v>11</c:v>
                </c:pt>
                <c:pt idx="5">
                  <c:v>11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C-33E4-49C9-8120-85BBD8C82DB5}"/>
            </c:ext>
          </c:extLst>
        </c:ser>
        <c:ser>
          <c:idx val="28"/>
          <c:order val="28"/>
          <c:spPr>
            <a:ln>
              <a:noFill/>
            </a:ln>
          </c:spPr>
          <c:marker>
            <c:symbol val="none"/>
          </c:marker>
          <c:dLbls>
            <c:dLbl>
              <c:idx val="0"/>
              <c:layout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7B-9380-47DA-840A-FE32AAC961D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5-33E4-49C9-8120-85BBD8C82DB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6-33E4-49C9-8120-85BBD8C82DB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7-33E4-49C9-8120-85BBD8C82DB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8-33E4-49C9-8120-85BBD8C82DB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9-33E4-49C9-8120-85BBD8C82DB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/>
                </a:pPr>
                <a:endParaRPr lang="pt-BR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DataLabelsRange val="1"/>
                <c15:showLeaderLines val="1"/>
              </c:ext>
            </c:extLst>
          </c:dLbls>
          <c:val>
            <c:numRef>
              <c:f>Visualization!$AW$11:$BB$11</c:f>
              <c:numCache>
                <c:formatCode>0</c:formatCode>
                <c:ptCount val="6"/>
                <c:pt idx="0">
                  <c:v>9</c:v>
                </c:pt>
                <c:pt idx="1">
                  <c:v>13</c:v>
                </c:pt>
                <c:pt idx="2">
                  <c:v>5</c:v>
                </c:pt>
                <c:pt idx="3">
                  <c:v>6</c:v>
                </c:pt>
                <c:pt idx="4">
                  <c:v>18</c:v>
                </c:pt>
                <c:pt idx="5">
                  <c:v>13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23-33E4-49C9-8120-85BBD8C82DB5}"/>
            </c:ext>
          </c:extLst>
        </c:ser>
        <c:ser>
          <c:idx val="29"/>
          <c:order val="29"/>
          <c:spPr>
            <a:ln>
              <a:noFill/>
            </a:ln>
          </c:spPr>
          <c:marker>
            <c:symbol val="none"/>
          </c:marker>
          <c:dLbls>
            <c:dLbl>
              <c:idx val="0"/>
              <c:layout/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 sz="1000"/>
                    </a:pPr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7C-9380-47DA-840A-FE32AAC961D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6-3229-4385-99E7-0E35D46C0AB1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7-3229-4385-99E7-0E35D46C0AB1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8-3229-4385-99E7-0E35D46C0AB1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9-3229-4385-99E7-0E35D46C0AB1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A-3229-4385-99E7-0E35D46C0AB1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dLblPos val="ctr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DataLabelsRange val="1"/>
                <c15:showLeaderLines val="1"/>
              </c:ext>
            </c:extLst>
          </c:dLbls>
          <c:val>
            <c:numRef>
              <c:f>Visualization!$AW$12:$BB$12</c:f>
              <c:numCache>
                <c:formatCode>0</c:formatCode>
                <c:ptCount val="6"/>
                <c:pt idx="0">
                  <c:v>10</c:v>
                </c:pt>
                <c:pt idx="1">
                  <c:v>5</c:v>
                </c:pt>
                <c:pt idx="2">
                  <c:v>10</c:v>
                </c:pt>
                <c:pt idx="3">
                  <c:v>12</c:v>
                </c:pt>
                <c:pt idx="4">
                  <c:v>16</c:v>
                </c:pt>
                <c:pt idx="5">
                  <c:v>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4-3229-4385-99E7-0E35D46C0AB1}"/>
            </c:ext>
          </c:extLst>
        </c:ser>
        <c:ser>
          <c:idx val="30"/>
          <c:order val="30"/>
          <c:spPr>
            <a:ln>
              <a:noFill/>
            </a:ln>
          </c:spPr>
          <c:marker>
            <c:symbol val="none"/>
          </c:marker>
          <c:dLbls>
            <c:dLbl>
              <c:idx val="0"/>
              <c:layout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C-3229-4385-99E7-0E35D46C0AB1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D-3229-4385-99E7-0E35D46C0AB1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E-3229-4385-99E7-0E35D46C0AB1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F-3229-4385-99E7-0E35D46C0AB1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0-3229-4385-99E7-0E35D46C0AB1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1-3229-4385-99E7-0E35D46C0AB1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/>
                </a:pPr>
                <a:endParaRPr lang="pt-BR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DataLabelsRange val="1"/>
                <c15:showLeaderLines val="1"/>
              </c:ext>
            </c:extLst>
          </c:dLbls>
          <c:val>
            <c:numRef>
              <c:f>Visualization!$AW$13:$BB$13</c:f>
              <c:numCache>
                <c:formatCode>0</c:formatCode>
                <c:ptCount val="6"/>
                <c:pt idx="0">
                  <c:v>11</c:v>
                </c:pt>
                <c:pt idx="1">
                  <c:v>19</c:v>
                </c:pt>
                <c:pt idx="2">
                  <c:v>8</c:v>
                </c:pt>
                <c:pt idx="3">
                  <c:v>3</c:v>
                </c:pt>
                <c:pt idx="4">
                  <c:v>20</c:v>
                </c:pt>
                <c:pt idx="5">
                  <c:v>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B-3229-4385-99E7-0E35D46C0AB1}"/>
            </c:ext>
          </c:extLst>
        </c:ser>
        <c:ser>
          <c:idx val="31"/>
          <c:order val="31"/>
          <c:spPr>
            <a:ln>
              <a:noFill/>
            </a:ln>
          </c:spPr>
          <c:marker>
            <c:symbol val="none"/>
          </c:marker>
          <c:dLbls>
            <c:dLbl>
              <c:idx val="0"/>
              <c:layout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3-3229-4385-99E7-0E35D46C0AB1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4-3229-4385-99E7-0E35D46C0AB1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5-3229-4385-99E7-0E35D46C0AB1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6-3229-4385-99E7-0E35D46C0AB1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7-3229-4385-99E7-0E35D46C0AB1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8-3229-4385-99E7-0E35D46C0AB1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/>
                </a:pPr>
                <a:endParaRPr lang="pt-BR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DataLabelsRange val="1"/>
                <c15:showLeaderLines val="1"/>
              </c:ext>
            </c:extLst>
          </c:dLbls>
          <c:val>
            <c:numRef>
              <c:f>Visualization!$AW$14:$BB$14</c:f>
              <c:numCache>
                <c:formatCode>0</c:formatCode>
                <c:ptCount val="6"/>
                <c:pt idx="0">
                  <c:v>12</c:v>
                </c:pt>
                <c:pt idx="1">
                  <c:v>12</c:v>
                </c:pt>
                <c:pt idx="2">
                  <c:v>15</c:v>
                </c:pt>
                <c:pt idx="3">
                  <c:v>9</c:v>
                </c:pt>
                <c:pt idx="4">
                  <c:v>13</c:v>
                </c:pt>
                <c:pt idx="5">
                  <c:v>10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22-3229-4385-99E7-0E35D46C0AB1}"/>
            </c:ext>
          </c:extLst>
        </c:ser>
        <c:ser>
          <c:idx val="32"/>
          <c:order val="32"/>
          <c:spPr>
            <a:ln>
              <a:noFill/>
            </a:ln>
          </c:spPr>
          <c:marker>
            <c:symbol val="none"/>
          </c:marker>
          <c:dLbls>
            <c:dLbl>
              <c:idx val="0"/>
              <c:layout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A-3229-4385-99E7-0E35D46C0AB1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B-3229-4385-99E7-0E35D46C0AB1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C-3229-4385-99E7-0E35D46C0AB1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D-3229-4385-99E7-0E35D46C0AB1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E-3229-4385-99E7-0E35D46C0AB1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F-3229-4385-99E7-0E35D46C0AB1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/>
                </a:pPr>
                <a:endParaRPr lang="pt-BR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DataLabelsRange val="1"/>
                <c15:showLeaderLines val="1"/>
              </c:ext>
            </c:extLst>
          </c:dLbls>
          <c:val>
            <c:numRef>
              <c:f>Visualization!$AW$15:$BB$15</c:f>
              <c:numCache>
                <c:formatCode>0</c:formatCode>
                <c:ptCount val="6"/>
                <c:pt idx="0">
                  <c:v>13</c:v>
                </c:pt>
                <c:pt idx="1">
                  <c:v>17</c:v>
                </c:pt>
                <c:pt idx="2">
                  <c:v>19</c:v>
                </c:pt>
                <c:pt idx="3">
                  <c:v>2</c:v>
                </c:pt>
                <c:pt idx="4">
                  <c:v>15</c:v>
                </c:pt>
                <c:pt idx="5">
                  <c:v>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29-3229-4385-99E7-0E35D46C0AB1}"/>
            </c:ext>
          </c:extLst>
        </c:ser>
        <c:ser>
          <c:idx val="33"/>
          <c:order val="33"/>
          <c:spPr>
            <a:ln>
              <a:noFill/>
            </a:ln>
          </c:spPr>
          <c:marker>
            <c:symbol val="none"/>
          </c:marker>
          <c:dLbls>
            <c:dLbl>
              <c:idx val="0"/>
              <c:layout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7D-9380-47DA-840A-FE32AAC961D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7E-9380-47DA-840A-FE32AAC961D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7F-9380-47DA-840A-FE32AAC961D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80-9380-47DA-840A-FE32AAC961D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81-9380-47DA-840A-FE32AAC961D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82-9380-47DA-840A-FE32AAC961D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/>
                </a:pPr>
                <a:endParaRPr lang="pt-BR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DataLabelsRange val="1"/>
                <c15:showLeaderLines val="1"/>
              </c:ext>
            </c:extLst>
          </c:dLbls>
          <c:val>
            <c:numRef>
              <c:f>Visualization!$AW$16:$BB$16</c:f>
              <c:numCache>
                <c:formatCode>0</c:formatCode>
                <c:ptCount val="6"/>
                <c:pt idx="0">
                  <c:v>14</c:v>
                </c:pt>
                <c:pt idx="1">
                  <c:v>14</c:v>
                </c:pt>
                <c:pt idx="2">
                  <c:v>3</c:v>
                </c:pt>
                <c:pt idx="3">
                  <c:v>11</c:v>
                </c:pt>
                <c:pt idx="4">
                  <c:v>19</c:v>
                </c:pt>
                <c:pt idx="5">
                  <c:v>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83-9380-47DA-840A-FE32AAC961DC}"/>
            </c:ext>
          </c:extLst>
        </c:ser>
        <c:ser>
          <c:idx val="34"/>
          <c:order val="34"/>
          <c:spPr>
            <a:ln>
              <a:noFill/>
            </a:ln>
          </c:spPr>
          <c:marker>
            <c:symbol val="none"/>
          </c:marker>
          <c:dLbls>
            <c:dLbl>
              <c:idx val="0"/>
              <c:layout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84-9380-47DA-840A-FE32AAC961D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85-9380-47DA-840A-FE32AAC961D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86-9380-47DA-840A-FE32AAC961D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87-9380-47DA-840A-FE32AAC961D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88-9380-47DA-840A-FE32AAC961D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89-9380-47DA-840A-FE32AAC961D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/>
                </a:pPr>
                <a:endParaRPr lang="pt-BR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DataLabelsRange val="1"/>
                <c15:showLeaderLines val="1"/>
              </c:ext>
            </c:extLst>
          </c:dLbls>
          <c:val>
            <c:numRef>
              <c:f>Visualization!$AW$17:$BB$17</c:f>
              <c:numCache>
                <c:formatCode>0</c:formatCode>
                <c:ptCount val="6"/>
                <c:pt idx="0">
                  <c:v>15</c:v>
                </c:pt>
                <c:pt idx="1">
                  <c:v>15</c:v>
                </c:pt>
                <c:pt idx="2">
                  <c:v>16</c:v>
                </c:pt>
                <c:pt idx="3">
                  <c:v>13</c:v>
                </c:pt>
                <c:pt idx="4">
                  <c:v>8</c:v>
                </c:pt>
                <c:pt idx="5">
                  <c:v>16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8A-9380-47DA-840A-FE32AAC961DC}"/>
            </c:ext>
          </c:extLst>
        </c:ser>
        <c:ser>
          <c:idx val="35"/>
          <c:order val="35"/>
          <c:spPr>
            <a:ln>
              <a:noFill/>
            </a:ln>
          </c:spPr>
          <c:marker>
            <c:symbol val="none"/>
          </c:marker>
          <c:dLbls>
            <c:dLbl>
              <c:idx val="0"/>
              <c:layout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8B-9380-47DA-840A-FE32AAC961D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8C-9380-47DA-840A-FE32AAC961D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8D-9380-47DA-840A-FE32AAC961D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8E-9380-47DA-840A-FE32AAC961D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8F-9380-47DA-840A-FE32AAC961D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90-9380-47DA-840A-FE32AAC961D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/>
                </a:pPr>
                <a:endParaRPr lang="pt-BR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DataLabelsRange val="1"/>
                <c15:showLeaderLines val="1"/>
              </c:ext>
            </c:extLst>
          </c:dLbls>
          <c:val>
            <c:numRef>
              <c:f>Visualization!$AW$18:$BB$18</c:f>
              <c:numCache>
                <c:formatCode>0</c:formatCode>
                <c:ptCount val="6"/>
                <c:pt idx="0">
                  <c:v>16</c:v>
                </c:pt>
                <c:pt idx="1">
                  <c:v>9</c:v>
                </c:pt>
                <c:pt idx="2">
                  <c:v>20</c:v>
                </c:pt>
                <c:pt idx="3">
                  <c:v>16</c:v>
                </c:pt>
                <c:pt idx="4">
                  <c:v>1</c:v>
                </c:pt>
                <c:pt idx="5">
                  <c:v>15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91-9380-47DA-840A-FE32AAC961DC}"/>
            </c:ext>
          </c:extLst>
        </c:ser>
        <c:ser>
          <c:idx val="36"/>
          <c:order val="36"/>
          <c:spPr>
            <a:ln>
              <a:noFill/>
            </a:ln>
          </c:spPr>
          <c:marker>
            <c:symbol val="none"/>
          </c:marker>
          <c:dLbls>
            <c:dLbl>
              <c:idx val="0"/>
              <c:layout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92-9380-47DA-840A-FE32AAC961D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93-9380-47DA-840A-FE32AAC961D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94-9380-47DA-840A-FE32AAC961D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95-9380-47DA-840A-FE32AAC961D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96-9380-47DA-840A-FE32AAC961D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97-9380-47DA-840A-FE32AAC961D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/>
                </a:pPr>
                <a:endParaRPr lang="pt-BR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DataLabelsRange val="1"/>
                <c15:showLeaderLines val="1"/>
              </c:ext>
            </c:extLst>
          </c:dLbls>
          <c:val>
            <c:numRef>
              <c:f>Visualization!$AW$19:$BB$19</c:f>
              <c:numCache>
                <c:formatCode>0</c:formatCode>
                <c:ptCount val="6"/>
                <c:pt idx="0">
                  <c:v>17</c:v>
                </c:pt>
                <c:pt idx="1">
                  <c:v>18</c:v>
                </c:pt>
                <c:pt idx="2">
                  <c:v>14</c:v>
                </c:pt>
                <c:pt idx="3">
                  <c:v>18</c:v>
                </c:pt>
                <c:pt idx="4">
                  <c:v>2</c:v>
                </c:pt>
                <c:pt idx="5">
                  <c:v>19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98-9380-47DA-840A-FE32AAC961DC}"/>
            </c:ext>
          </c:extLst>
        </c:ser>
        <c:ser>
          <c:idx val="37"/>
          <c:order val="37"/>
          <c:spPr>
            <a:ln>
              <a:noFill/>
            </a:ln>
          </c:spPr>
          <c:marker>
            <c:symbol val="none"/>
          </c:marker>
          <c:dLbls>
            <c:dLbl>
              <c:idx val="0"/>
              <c:layout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99-9380-47DA-840A-FE32AAC961D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9A-9380-47DA-840A-FE32AAC961D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9B-9380-47DA-840A-FE32AAC961D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9C-9380-47DA-840A-FE32AAC961D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9D-9380-47DA-840A-FE32AAC961D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9E-9380-47DA-840A-FE32AAC961D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0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/>
                </a:pPr>
                <a:endParaRPr lang="pt-BR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DataLabelsRange val="1"/>
                <c15:showLeaderLines val="1"/>
              </c:ext>
            </c:extLst>
          </c:dLbls>
          <c:val>
            <c:numRef>
              <c:f>Visualization!$AW$20:$BB$20</c:f>
              <c:numCache>
                <c:formatCode>0</c:formatCode>
                <c:ptCount val="6"/>
                <c:pt idx="0">
                  <c:v>18</c:v>
                </c:pt>
                <c:pt idx="1">
                  <c:v>16</c:v>
                </c:pt>
                <c:pt idx="2">
                  <c:v>1</c:v>
                </c:pt>
                <c:pt idx="3">
                  <c:v>19</c:v>
                </c:pt>
                <c:pt idx="4">
                  <c:v>4</c:v>
                </c:pt>
                <c:pt idx="5">
                  <c:v>14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9F-9380-47DA-840A-FE32AAC961DC}"/>
            </c:ext>
          </c:extLst>
        </c:ser>
        <c:ser>
          <c:idx val="38"/>
          <c:order val="38"/>
          <c:spPr>
            <a:ln>
              <a:noFill/>
            </a:ln>
          </c:spPr>
          <c:marker>
            <c:symbol val="none"/>
          </c:marker>
          <c:dLbls>
            <c:dLbl>
              <c:idx val="0"/>
              <c:layout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A0-9380-47DA-840A-FE32AAC961D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A1-9380-47DA-840A-FE32AAC961D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A2-9380-47DA-840A-FE32AAC961D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A3-9380-47DA-840A-FE32AAC961D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A4-9380-47DA-840A-FE32AAC961D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A5-9380-47DA-840A-FE32AAC961D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/>
                </a:pPr>
                <a:endParaRPr lang="pt-BR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DataLabelsRange val="1"/>
                <c15:showLeaderLines val="1"/>
              </c:ext>
            </c:extLst>
          </c:dLbls>
          <c:val>
            <c:numRef>
              <c:f>Visualization!$AW$21:$BB$21</c:f>
              <c:numCache>
                <c:formatCode>0</c:formatCode>
                <c:ptCount val="6"/>
                <c:pt idx="0">
                  <c:v>19</c:v>
                </c:pt>
                <c:pt idx="1">
                  <c:v>2</c:v>
                </c:pt>
                <c:pt idx="2">
                  <c:v>6</c:v>
                </c:pt>
                <c:pt idx="3">
                  <c:v>20</c:v>
                </c:pt>
                <c:pt idx="4">
                  <c:v>17</c:v>
                </c:pt>
                <c:pt idx="5">
                  <c:v>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A6-9380-47DA-840A-FE32AAC961DC}"/>
            </c:ext>
          </c:extLst>
        </c:ser>
        <c:ser>
          <c:idx val="39"/>
          <c:order val="39"/>
          <c:spPr>
            <a:ln>
              <a:noFill/>
            </a:ln>
          </c:spPr>
          <c:marker>
            <c:symbol val="none"/>
          </c:marker>
          <c:dLbls>
            <c:dLbl>
              <c:idx val="0"/>
              <c:layout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A7-9380-47DA-840A-FE32AAC961D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A8-9380-47DA-840A-FE32AAC961D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A9-9380-47DA-840A-FE32AAC961D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AA-9380-47DA-840A-FE32AAC961D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AB-9380-47DA-840A-FE32AAC961D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AC-9380-47DA-840A-FE32AAC961D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/>
                </a:pPr>
                <a:endParaRPr lang="pt-BR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DataLabelsRange val="1"/>
                <c15:showLeaderLines val="1"/>
              </c:ext>
            </c:extLst>
          </c:dLbls>
          <c:val>
            <c:numRef>
              <c:f>Visualization!$AW$22:$BB$22</c:f>
              <c:numCache>
                <c:formatCode>0</c:formatCode>
                <c:ptCount val="6"/>
                <c:pt idx="0">
                  <c:v>20</c:v>
                </c:pt>
                <c:pt idx="1">
                  <c:v>20</c:v>
                </c:pt>
                <c:pt idx="2">
                  <c:v>18</c:v>
                </c:pt>
                <c:pt idx="3">
                  <c:v>17</c:v>
                </c:pt>
                <c:pt idx="4">
                  <c:v>6</c:v>
                </c:pt>
                <c:pt idx="5">
                  <c:v>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AD-9380-47DA-840A-FE32AAC961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601419536"/>
        <c:axId val="-601409744"/>
      </c:lineChart>
      <c:catAx>
        <c:axId val="-601419536"/>
        <c:scaling>
          <c:orientation val="minMax"/>
        </c:scaling>
        <c:delete val="0"/>
        <c:axPos val="t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800" b="0"/>
            </a:pPr>
            <a:endParaRPr lang="pt-BR"/>
          </a:p>
        </c:txPr>
        <c:crossAx val="-601409744"/>
        <c:crosses val="autoZero"/>
        <c:auto val="1"/>
        <c:lblAlgn val="ctr"/>
        <c:lblOffset val="100"/>
        <c:noMultiLvlLbl val="0"/>
      </c:catAx>
      <c:valAx>
        <c:axId val="-601409744"/>
        <c:scaling>
          <c:orientation val="maxMin"/>
          <c:max val="20"/>
        </c:scaling>
        <c:delete val="0"/>
        <c:axPos val="l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73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numFmt formatCode="0" sourceLinked="1"/>
        <c:majorTickMark val="none"/>
        <c:minorTickMark val="none"/>
        <c:tickLblPos val="none"/>
        <c:spPr>
          <a:ln>
            <a:noFill/>
          </a:ln>
        </c:spPr>
        <c:crossAx val="-601419536"/>
        <c:crossesAt val="1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txPr>
    <a:bodyPr/>
    <a:lstStyle/>
    <a:p>
      <a:pPr>
        <a:defRPr sz="1400"/>
      </a:pPr>
      <a:endParaRPr lang="pt-BR"/>
    </a:p>
  </c:txPr>
  <c:printSettings>
    <c:headerFooter/>
    <c:pageMargins b="0.75" l="0.7" r="0.7" t="0.75" header="0.3" footer="0.3"/>
    <c:pageSetup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800" b="1" i="0" baseline="0">
                <a:effectLst/>
              </a:rPr>
              <a:t>DESEMPEÑO  DE EMPRESAS  (MODELO DE  5 SECTORES)</a:t>
            </a:r>
            <a:endParaRPr lang="es-ES">
              <a:effectLst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3791449039275257"/>
          <c:y val="0.26378407204773613"/>
          <c:w val="0.24027206120988545"/>
          <c:h val="0.29540202588907438"/>
        </c:manualLayout>
      </c:layout>
      <c:radarChart>
        <c:radarStyle val="marker"/>
        <c:varyColors val="0"/>
        <c:ser>
          <c:idx val="5"/>
          <c:order val="0"/>
          <c:tx>
            <c:strRef>
              <c:f>Visualization!$R$3</c:f>
              <c:strCache>
                <c:ptCount val="1"/>
                <c:pt idx="0">
                  <c:v>CORSAN</c:v>
                </c:pt>
              </c:strCache>
            </c:strRef>
          </c:tx>
          <c:cat>
            <c:strRef>
              <c:f>(Visualization!$T$1,Visualization!$Y$1,Visualization!$AD$1,Visualization!$AI$1,Visualization!$AN$1)</c:f>
              <c:strCache>
                <c:ptCount val="5"/>
                <c:pt idx="0">
                  <c:v>ENVIRONMENT AS PROVIDER ( Sector 1)</c:v>
                </c:pt>
                <c:pt idx="1">
                  <c:v>ENVIRONMENT AS RECEIVER (Sector 2)</c:v>
                </c:pt>
                <c:pt idx="2">
                  <c:v>PRODUCTION SYSTEM (Sector 3)</c:v>
                </c:pt>
                <c:pt idx="3">
                  <c:v>SOCIETY AS PROVIDER  (Sector 4)</c:v>
                </c:pt>
                <c:pt idx="4">
                  <c:v>SOCIETY AS RECEIVER (Sector 5)</c:v>
                </c:pt>
              </c:strCache>
            </c:strRef>
          </c:cat>
          <c:val>
            <c:numRef>
              <c:f>(Visualization!$T$3,Visualization!$Y$3,Visualization!$AD$3,Visualization!$AI$3,Visualization!$AN$3)</c:f>
              <c:numCache>
                <c:formatCode>0.000</c:formatCode>
                <c:ptCount val="5"/>
                <c:pt idx="0">
                  <c:v>0.31469999999999998</c:v>
                </c:pt>
                <c:pt idx="1">
                  <c:v>4.8249909052882662</c:v>
                </c:pt>
                <c:pt idx="2">
                  <c:v>0.20805017309953533</c:v>
                </c:pt>
                <c:pt idx="3">
                  <c:v>17.12764940435623</c:v>
                </c:pt>
                <c:pt idx="4">
                  <c:v>135.74787768396968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011-4F5C-ADCD-211FABD496C3}"/>
            </c:ext>
          </c:extLst>
        </c:ser>
        <c:ser>
          <c:idx val="9"/>
          <c:order val="1"/>
          <c:tx>
            <c:strRef>
              <c:f>Visualization!$R$4</c:f>
              <c:strCache>
                <c:ptCount val="1"/>
                <c:pt idx="0">
                  <c:v>CASAN</c:v>
                </c:pt>
              </c:strCache>
            </c:strRef>
          </c:tx>
          <c:cat>
            <c:strRef>
              <c:f>(Visualization!$T$1,Visualization!$Y$1,Visualization!$AD$1,Visualization!$AI$1,Visualization!$AN$1)</c:f>
              <c:strCache>
                <c:ptCount val="5"/>
                <c:pt idx="0">
                  <c:v>ENVIRONMENT AS PROVIDER ( Sector 1)</c:v>
                </c:pt>
                <c:pt idx="1">
                  <c:v>ENVIRONMENT AS RECEIVER (Sector 2)</c:v>
                </c:pt>
                <c:pt idx="2">
                  <c:v>PRODUCTION SYSTEM (Sector 3)</c:v>
                </c:pt>
                <c:pt idx="3">
                  <c:v>SOCIETY AS PROVIDER  (Sector 4)</c:v>
                </c:pt>
                <c:pt idx="4">
                  <c:v>SOCIETY AS RECEIVER (Sector 5)</c:v>
                </c:pt>
              </c:strCache>
            </c:strRef>
          </c:cat>
          <c:val>
            <c:numRef>
              <c:f>(Visualization!$T$4,Visualization!$Y$4,Visualization!$AD$4,Visualization!$AI$4,Visualization!$AN$4)</c:f>
              <c:numCache>
                <c:formatCode>0.000</c:formatCode>
                <c:ptCount val="5"/>
                <c:pt idx="0">
                  <c:v>0.39740000000000003</c:v>
                </c:pt>
                <c:pt idx="1">
                  <c:v>3.3621914181822268</c:v>
                </c:pt>
                <c:pt idx="2">
                  <c:v>0.10111739436024302</c:v>
                </c:pt>
                <c:pt idx="3">
                  <c:v>11.669919228754642</c:v>
                </c:pt>
                <c:pt idx="4">
                  <c:v>184.37146278404322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011-4F5C-ADCD-211FABD496C3}"/>
            </c:ext>
          </c:extLst>
        </c:ser>
        <c:ser>
          <c:idx val="14"/>
          <c:order val="2"/>
          <c:tx>
            <c:strRef>
              <c:f>Visualization!$R$5</c:f>
              <c:strCache>
                <c:ptCount val="1"/>
                <c:pt idx="0">
                  <c:v>SANEPAR</c:v>
                </c:pt>
              </c:strCache>
            </c:strRef>
          </c:tx>
          <c:cat>
            <c:strRef>
              <c:f>(Visualization!$T$1,Visualization!$Y$1,Visualization!$AD$1,Visualization!$AI$1,Visualization!$AN$1)</c:f>
              <c:strCache>
                <c:ptCount val="5"/>
                <c:pt idx="0">
                  <c:v>ENVIRONMENT AS PROVIDER ( Sector 1)</c:v>
                </c:pt>
                <c:pt idx="1">
                  <c:v>ENVIRONMENT AS RECEIVER (Sector 2)</c:v>
                </c:pt>
                <c:pt idx="2">
                  <c:v>PRODUCTION SYSTEM (Sector 3)</c:v>
                </c:pt>
                <c:pt idx="3">
                  <c:v>SOCIETY AS PROVIDER  (Sector 4)</c:v>
                </c:pt>
                <c:pt idx="4">
                  <c:v>SOCIETY AS RECEIVER (Sector 5)</c:v>
                </c:pt>
              </c:strCache>
            </c:strRef>
          </c:cat>
          <c:val>
            <c:numRef>
              <c:f>(Visualization!$T$5,Visualization!$Y$5,Visualization!$AD$5,Visualization!$AI$5,Visualization!$AN$5)</c:f>
              <c:numCache>
                <c:formatCode>0.000</c:formatCode>
                <c:ptCount val="5"/>
                <c:pt idx="0">
                  <c:v>0.3251</c:v>
                </c:pt>
                <c:pt idx="1">
                  <c:v>3.5876165991895066</c:v>
                </c:pt>
                <c:pt idx="2">
                  <c:v>0.12641296377455158</c:v>
                </c:pt>
                <c:pt idx="3">
                  <c:v>7.6396730070987102</c:v>
                </c:pt>
                <c:pt idx="4">
                  <c:v>168.14148383261912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2011-4F5C-ADCD-211FABD496C3}"/>
            </c:ext>
          </c:extLst>
        </c:ser>
        <c:ser>
          <c:idx val="28"/>
          <c:order val="4"/>
          <c:tx>
            <c:strRef>
              <c:f>Visualization!$R$7</c:f>
              <c:strCache>
                <c:ptCount val="1"/>
                <c:pt idx="0">
                  <c:v>COSANPA</c:v>
                </c:pt>
              </c:strCache>
            </c:strRef>
          </c:tx>
          <c:cat>
            <c:strRef>
              <c:f>(Visualization!$T$1,Visualization!$Y$1,Visualization!$AD$1,Visualization!$AI$1,Visualization!$AN$1)</c:f>
              <c:strCache>
                <c:ptCount val="5"/>
                <c:pt idx="0">
                  <c:v>ENVIRONMENT AS PROVIDER ( Sector 1)</c:v>
                </c:pt>
                <c:pt idx="1">
                  <c:v>ENVIRONMENT AS RECEIVER (Sector 2)</c:v>
                </c:pt>
                <c:pt idx="2">
                  <c:v>PRODUCTION SYSTEM (Sector 3)</c:v>
                </c:pt>
                <c:pt idx="3">
                  <c:v>SOCIETY AS PROVIDER  (Sector 4)</c:v>
                </c:pt>
                <c:pt idx="4">
                  <c:v>SOCIETY AS RECEIVER (Sector 5)</c:v>
                </c:pt>
              </c:strCache>
            </c:strRef>
          </c:cat>
          <c:val>
            <c:numRef>
              <c:f>(Visualization!$T$7,Visualization!$Y$7,Visualization!$AD$7,Visualization!$AI$7,Visualization!$AN$7)</c:f>
              <c:numCache>
                <c:formatCode>0.000</c:formatCode>
                <c:ptCount val="5"/>
                <c:pt idx="0">
                  <c:v>0.45899999999999996</c:v>
                </c:pt>
                <c:pt idx="1">
                  <c:v>3.6813309241085674</c:v>
                </c:pt>
                <c:pt idx="2">
                  <c:v>0.23155630273226621</c:v>
                </c:pt>
                <c:pt idx="3">
                  <c:v>13.142716751160581</c:v>
                </c:pt>
                <c:pt idx="4">
                  <c:v>122.01772507688456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2011-4F5C-ADCD-211FABD496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601417904"/>
        <c:axId val="-601404848"/>
      </c:radarChart>
      <c:radarChart>
        <c:radarStyle val="marker"/>
        <c:varyColors val="0"/>
        <c:ser>
          <c:idx val="19"/>
          <c:order val="3"/>
          <c:tx>
            <c:strRef>
              <c:f>Visualization!$R$6</c:f>
              <c:strCache>
                <c:ptCount val="1"/>
                <c:pt idx="0">
                  <c:v>COPASA</c:v>
                </c:pt>
              </c:strCache>
            </c:strRef>
          </c:tx>
          <c:cat>
            <c:strRef>
              <c:f>(Visualization!$T$1,Visualization!$Y$1,Visualization!$AD$1,Visualization!$AI$1,Visualization!$AN$1)</c:f>
              <c:strCache>
                <c:ptCount val="5"/>
                <c:pt idx="0">
                  <c:v>ENVIRONMENT AS PROVIDER ( Sector 1)</c:v>
                </c:pt>
                <c:pt idx="1">
                  <c:v>ENVIRONMENT AS RECEIVER (Sector 2)</c:v>
                </c:pt>
                <c:pt idx="2">
                  <c:v>PRODUCTION SYSTEM (Sector 3)</c:v>
                </c:pt>
                <c:pt idx="3">
                  <c:v>SOCIETY AS PROVIDER  (Sector 4)</c:v>
                </c:pt>
                <c:pt idx="4">
                  <c:v>SOCIETY AS RECEIVER (Sector 5)</c:v>
                </c:pt>
              </c:strCache>
            </c:strRef>
          </c:cat>
          <c:val>
            <c:numRef>
              <c:f>(Visualization!$T$6,Visualization!$Y$6,Visualization!$AD$6,Visualization!$AI$6,Visualization!$AN$6)</c:f>
              <c:numCache>
                <c:formatCode>0.000</c:formatCode>
                <c:ptCount val="5"/>
                <c:pt idx="0">
                  <c:v>0.33640000000000003</c:v>
                </c:pt>
                <c:pt idx="1">
                  <c:v>4.5393513507300609</c:v>
                </c:pt>
                <c:pt idx="2">
                  <c:v>8.1567045227977919E-2</c:v>
                </c:pt>
                <c:pt idx="3">
                  <c:v>11.095577244000669</c:v>
                </c:pt>
                <c:pt idx="4">
                  <c:v>151.92449314981047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2011-4F5C-ADCD-211FABD496C3}"/>
            </c:ext>
          </c:extLst>
        </c:ser>
        <c:ser>
          <c:idx val="0"/>
          <c:order val="5"/>
          <c:tx>
            <c:strRef>
              <c:f>Visualization!$R$8</c:f>
              <c:strCache>
                <c:ptCount val="1"/>
                <c:pt idx="0">
                  <c:v>SANEAGO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(Visualization!$T$1,Visualization!$Y$1,Visualization!$AD$1,Visualization!$AI$1,Visualization!$AN$1)</c:f>
              <c:strCache>
                <c:ptCount val="5"/>
                <c:pt idx="0">
                  <c:v>ENVIRONMENT AS PROVIDER ( Sector 1)</c:v>
                </c:pt>
                <c:pt idx="1">
                  <c:v>ENVIRONMENT AS RECEIVER (Sector 2)</c:v>
                </c:pt>
                <c:pt idx="2">
                  <c:v>PRODUCTION SYSTEM (Sector 3)</c:v>
                </c:pt>
                <c:pt idx="3">
                  <c:v>SOCIETY AS PROVIDER  (Sector 4)</c:v>
                </c:pt>
                <c:pt idx="4">
                  <c:v>SOCIETY AS RECEIVER (Sector 5)</c:v>
                </c:pt>
              </c:strCache>
            </c:strRef>
          </c:cat>
          <c:val>
            <c:numRef>
              <c:f>(Visualization!$T$8,Visualization!$Y$8,Visualization!$AD$8,Visualization!$AI$8,Visualization!$AN$8)</c:f>
              <c:numCache>
                <c:formatCode>0.000</c:formatCode>
                <c:ptCount val="5"/>
                <c:pt idx="0">
                  <c:v>0.28620000000000001</c:v>
                </c:pt>
                <c:pt idx="1">
                  <c:v>4.3316551176051181</c:v>
                </c:pt>
                <c:pt idx="2">
                  <c:v>-3.7282696829270053E-2</c:v>
                </c:pt>
                <c:pt idx="3">
                  <c:v>12.389225923795104</c:v>
                </c:pt>
                <c:pt idx="4">
                  <c:v>140.80742906653057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2011-4F5C-ADCD-211FABD496C3}"/>
            </c:ext>
          </c:extLst>
        </c:ser>
        <c:ser>
          <c:idx val="1"/>
          <c:order val="6"/>
          <c:tx>
            <c:strRef>
              <c:f>Visualization!$R$9</c:f>
              <c:strCache>
                <c:ptCount val="1"/>
                <c:pt idx="0">
                  <c:v>CAGEPA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(Visualization!$T$1,Visualization!$Y$1,Visualization!$AD$1,Visualization!$AI$1,Visualization!$AN$1)</c:f>
              <c:strCache>
                <c:ptCount val="5"/>
                <c:pt idx="0">
                  <c:v>ENVIRONMENT AS PROVIDER ( Sector 1)</c:v>
                </c:pt>
                <c:pt idx="1">
                  <c:v>ENVIRONMENT AS RECEIVER (Sector 2)</c:v>
                </c:pt>
                <c:pt idx="2">
                  <c:v>PRODUCTION SYSTEM (Sector 3)</c:v>
                </c:pt>
                <c:pt idx="3">
                  <c:v>SOCIETY AS PROVIDER  (Sector 4)</c:v>
                </c:pt>
                <c:pt idx="4">
                  <c:v>SOCIETY AS RECEIVER (Sector 5)</c:v>
                </c:pt>
              </c:strCache>
            </c:strRef>
          </c:cat>
          <c:val>
            <c:numRef>
              <c:f>(Visualization!$T$9,Visualization!$Y$9,Visualization!$AD$9,Visualization!$AI$9,Visualization!$AN$9)</c:f>
              <c:numCache>
                <c:formatCode>0.000</c:formatCode>
                <c:ptCount val="5"/>
                <c:pt idx="0">
                  <c:v>0.38750000000000001</c:v>
                </c:pt>
                <c:pt idx="1">
                  <c:v>4.309180062582727</c:v>
                </c:pt>
                <c:pt idx="2">
                  <c:v>-1.7071672122013996E-2</c:v>
                </c:pt>
                <c:pt idx="3">
                  <c:v>17.467691381484435</c:v>
                </c:pt>
                <c:pt idx="4">
                  <c:v>130.00854695746131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2011-4F5C-ADCD-211FABD496C3}"/>
            </c:ext>
          </c:extLst>
        </c:ser>
        <c:ser>
          <c:idx val="2"/>
          <c:order val="7"/>
          <c:tx>
            <c:strRef>
              <c:f>Visualization!$R$10</c:f>
              <c:strCache>
                <c:ptCount val="1"/>
                <c:pt idx="0">
                  <c:v>CAESB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Ref>
              <c:f>(Visualization!$T$1,Visualization!$Y$1,Visualization!$AD$1,Visualization!$AI$1,Visualization!$AN$1)</c:f>
              <c:strCache>
                <c:ptCount val="5"/>
                <c:pt idx="0">
                  <c:v>ENVIRONMENT AS PROVIDER ( Sector 1)</c:v>
                </c:pt>
                <c:pt idx="1">
                  <c:v>ENVIRONMENT AS RECEIVER (Sector 2)</c:v>
                </c:pt>
                <c:pt idx="2">
                  <c:v>PRODUCTION SYSTEM (Sector 3)</c:v>
                </c:pt>
                <c:pt idx="3">
                  <c:v>SOCIETY AS PROVIDER  (Sector 4)</c:v>
                </c:pt>
                <c:pt idx="4">
                  <c:v>SOCIETY AS RECEIVER (Sector 5)</c:v>
                </c:pt>
              </c:strCache>
            </c:strRef>
          </c:cat>
          <c:val>
            <c:numRef>
              <c:f>(Visualization!$T$10,Visualization!$Y$10,Visualization!$AD$10,Visualization!$AI$10,Visualization!$AN$10)</c:f>
              <c:numCache>
                <c:formatCode>0.000</c:formatCode>
                <c:ptCount val="5"/>
                <c:pt idx="0">
                  <c:v>0.27100000000000002</c:v>
                </c:pt>
                <c:pt idx="1">
                  <c:v>3.3277659935580091</c:v>
                </c:pt>
                <c:pt idx="2">
                  <c:v>8.2535483995845906E-3</c:v>
                </c:pt>
                <c:pt idx="3">
                  <c:v>7.5420530562482355</c:v>
                </c:pt>
                <c:pt idx="4">
                  <c:v>184.4163302778388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2011-4F5C-ADCD-211FABD496C3}"/>
            </c:ext>
          </c:extLst>
        </c:ser>
        <c:ser>
          <c:idx val="3"/>
          <c:order val="8"/>
          <c:tx>
            <c:strRef>
              <c:f>Visualization!$R$11</c:f>
              <c:strCache>
                <c:ptCount val="1"/>
                <c:pt idx="0">
                  <c:v>CESAN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Ref>
              <c:f>(Visualization!$T$1,Visualization!$Y$1,Visualization!$AD$1,Visualization!$AI$1,Visualization!$AN$1)</c:f>
              <c:strCache>
                <c:ptCount val="5"/>
                <c:pt idx="0">
                  <c:v>ENVIRONMENT AS PROVIDER ( Sector 1)</c:v>
                </c:pt>
                <c:pt idx="1">
                  <c:v>ENVIRONMENT AS RECEIVER (Sector 2)</c:v>
                </c:pt>
                <c:pt idx="2">
                  <c:v>PRODUCTION SYSTEM (Sector 3)</c:v>
                </c:pt>
                <c:pt idx="3">
                  <c:v>SOCIETY AS PROVIDER  (Sector 4)</c:v>
                </c:pt>
                <c:pt idx="4">
                  <c:v>SOCIETY AS RECEIVER (Sector 5)</c:v>
                </c:pt>
              </c:strCache>
            </c:strRef>
          </c:cat>
          <c:val>
            <c:numRef>
              <c:f>(Visualization!$T$11,Visualization!$Y$11,Visualization!$AD$11,Visualization!$AI$11,Visualization!$AN$11)</c:f>
              <c:numCache>
                <c:formatCode>0.000</c:formatCode>
                <c:ptCount val="5"/>
                <c:pt idx="0">
                  <c:v>0.3301</c:v>
                </c:pt>
                <c:pt idx="1">
                  <c:v>3.1261794484129659</c:v>
                </c:pt>
                <c:pt idx="2">
                  <c:v>0.11314993247245862</c:v>
                </c:pt>
                <c:pt idx="3">
                  <c:v>5.9252243660416823</c:v>
                </c:pt>
                <c:pt idx="4">
                  <c:v>246.67982649604323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2011-4F5C-ADCD-211FABD496C3}"/>
            </c:ext>
          </c:extLst>
        </c:ser>
        <c:ser>
          <c:idx val="4"/>
          <c:order val="9"/>
          <c:tx>
            <c:strRef>
              <c:f>Visualization!$R$12</c:f>
              <c:strCache>
                <c:ptCount val="1"/>
                <c:pt idx="0">
                  <c:v>EMBASA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cat>
            <c:strRef>
              <c:f>(Visualization!$T$1,Visualization!$Y$1,Visualization!$AD$1,Visualization!$AI$1,Visualization!$AN$1)</c:f>
              <c:strCache>
                <c:ptCount val="5"/>
                <c:pt idx="0">
                  <c:v>ENVIRONMENT AS PROVIDER ( Sector 1)</c:v>
                </c:pt>
                <c:pt idx="1">
                  <c:v>ENVIRONMENT AS RECEIVER (Sector 2)</c:v>
                </c:pt>
                <c:pt idx="2">
                  <c:v>PRODUCTION SYSTEM (Sector 3)</c:v>
                </c:pt>
                <c:pt idx="3">
                  <c:v>SOCIETY AS PROVIDER  (Sector 4)</c:v>
                </c:pt>
                <c:pt idx="4">
                  <c:v>SOCIETY AS RECEIVER (Sector 5)</c:v>
                </c:pt>
              </c:strCache>
            </c:strRef>
          </c:cat>
          <c:val>
            <c:numRef>
              <c:f>(Visualization!$T$12,Visualization!$Y$12,Visualization!$AD$12,Visualization!$AI$12,Visualization!$AN$12)</c:f>
              <c:numCache>
                <c:formatCode>0.000</c:formatCode>
                <c:ptCount val="5"/>
                <c:pt idx="0">
                  <c:v>0.4042</c:v>
                </c:pt>
                <c:pt idx="1">
                  <c:v>4.2193200289977923</c:v>
                </c:pt>
                <c:pt idx="2">
                  <c:v>2.5726947029200496E-2</c:v>
                </c:pt>
                <c:pt idx="3">
                  <c:v>6.5596455237715592</c:v>
                </c:pt>
                <c:pt idx="4">
                  <c:v>135.29220657860242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2011-4F5C-ADCD-211FABD496C3}"/>
            </c:ext>
          </c:extLst>
        </c:ser>
        <c:ser>
          <c:idx val="6"/>
          <c:order val="10"/>
          <c:tx>
            <c:strRef>
              <c:f>Visualization!$R$13</c:f>
              <c:strCache>
                <c:ptCount val="1"/>
                <c:pt idx="0">
                  <c:v>CEDAE</c:v>
                </c:pt>
              </c:strCache>
            </c:strRef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plus"/>
            <c:size val="5"/>
            <c:spPr>
              <a:noFill/>
              <a:ln>
                <a:solidFill>
                  <a:srgbClr val="008080"/>
                </a:solidFill>
                <a:prstDash val="solid"/>
              </a:ln>
            </c:spPr>
          </c:marker>
          <c:cat>
            <c:strRef>
              <c:f>(Visualization!$T$1,Visualization!$Y$1,Visualization!$AD$1,Visualization!$AI$1,Visualization!$AN$1)</c:f>
              <c:strCache>
                <c:ptCount val="5"/>
                <c:pt idx="0">
                  <c:v>ENVIRONMENT AS PROVIDER ( Sector 1)</c:v>
                </c:pt>
                <c:pt idx="1">
                  <c:v>ENVIRONMENT AS RECEIVER (Sector 2)</c:v>
                </c:pt>
                <c:pt idx="2">
                  <c:v>PRODUCTION SYSTEM (Sector 3)</c:v>
                </c:pt>
                <c:pt idx="3">
                  <c:v>SOCIETY AS PROVIDER  (Sector 4)</c:v>
                </c:pt>
                <c:pt idx="4">
                  <c:v>SOCIETY AS RECEIVER (Sector 5)</c:v>
                </c:pt>
              </c:strCache>
            </c:strRef>
          </c:cat>
          <c:val>
            <c:numRef>
              <c:f>(Visualization!$T$13,Visualization!$Y$13,Visualization!$AD$13,Visualization!$AI$13,Visualization!$AN$13)</c:f>
              <c:numCache>
                <c:formatCode>0.000</c:formatCode>
                <c:ptCount val="5"/>
                <c:pt idx="0">
                  <c:v>0.30549999999999999</c:v>
                </c:pt>
                <c:pt idx="1">
                  <c:v>4.2465872573841317</c:v>
                </c:pt>
                <c:pt idx="2">
                  <c:v>0.10990417533379396</c:v>
                </c:pt>
                <c:pt idx="3">
                  <c:v>5.4332248022791338</c:v>
                </c:pt>
                <c:pt idx="4">
                  <c:v>203.55314953425986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2011-4F5C-ADCD-211FABD496C3}"/>
            </c:ext>
          </c:extLst>
        </c:ser>
        <c:ser>
          <c:idx val="7"/>
          <c:order val="11"/>
          <c:tx>
            <c:strRef>
              <c:f>Visualization!$R$14</c:f>
              <c:strCache>
                <c:ptCount val="1"/>
                <c:pt idx="0">
                  <c:v>COMPESA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dot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(Visualization!$T$1,Visualization!$Y$1,Visualization!$AD$1,Visualization!$AI$1,Visualization!$AN$1)</c:f>
              <c:strCache>
                <c:ptCount val="5"/>
                <c:pt idx="0">
                  <c:v>ENVIRONMENT AS PROVIDER ( Sector 1)</c:v>
                </c:pt>
                <c:pt idx="1">
                  <c:v>ENVIRONMENT AS RECEIVER (Sector 2)</c:v>
                </c:pt>
                <c:pt idx="2">
                  <c:v>PRODUCTION SYSTEM (Sector 3)</c:v>
                </c:pt>
                <c:pt idx="3">
                  <c:v>SOCIETY AS PROVIDER  (Sector 4)</c:v>
                </c:pt>
                <c:pt idx="4">
                  <c:v>SOCIETY AS RECEIVER (Sector 5)</c:v>
                </c:pt>
              </c:strCache>
            </c:strRef>
          </c:cat>
          <c:val>
            <c:numRef>
              <c:f>(Visualization!$T$14,Visualization!$Y$14,Visualization!$AD$14,Visualization!$AI$14,Visualization!$AN$14)</c:f>
              <c:numCache>
                <c:formatCode>0.000</c:formatCode>
                <c:ptCount val="5"/>
                <c:pt idx="0">
                  <c:v>0.51890000000000003</c:v>
                </c:pt>
                <c:pt idx="1">
                  <c:v>4.0742560457716888</c:v>
                </c:pt>
                <c:pt idx="2">
                  <c:v>8.3056501469809751E-2</c:v>
                </c:pt>
                <c:pt idx="3">
                  <c:v>8.2900408297391213</c:v>
                </c:pt>
                <c:pt idx="4">
                  <c:v>134.49275149166539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B-2011-4F5C-ADCD-211FABD496C3}"/>
            </c:ext>
          </c:extLst>
        </c:ser>
        <c:ser>
          <c:idx val="8"/>
          <c:order val="12"/>
          <c:tx>
            <c:strRef>
              <c:f>Visualization!$R$15</c:f>
              <c:strCache>
                <c:ptCount val="1"/>
                <c:pt idx="0">
                  <c:v>MA</c:v>
                </c:pt>
              </c:strCache>
            </c:strRef>
          </c:tx>
          <c:spPr>
            <a:ln w="12700">
              <a:solidFill>
                <a:srgbClr val="00CCFF"/>
              </a:solidFill>
              <a:prstDash val="solid"/>
            </a:ln>
          </c:spPr>
          <c:marker>
            <c:symbol val="dash"/>
            <c:size val="5"/>
            <c:spPr>
              <a:noFill/>
              <a:ln>
                <a:solidFill>
                  <a:srgbClr val="00CCFF"/>
                </a:solidFill>
                <a:prstDash val="solid"/>
              </a:ln>
            </c:spPr>
          </c:marker>
          <c:cat>
            <c:strRef>
              <c:f>(Visualization!$T$1,Visualization!$Y$1,Visualization!$AD$1,Visualization!$AI$1,Visualization!$AN$1)</c:f>
              <c:strCache>
                <c:ptCount val="5"/>
                <c:pt idx="0">
                  <c:v>ENVIRONMENT AS PROVIDER ( Sector 1)</c:v>
                </c:pt>
                <c:pt idx="1">
                  <c:v>ENVIRONMENT AS RECEIVER (Sector 2)</c:v>
                </c:pt>
                <c:pt idx="2">
                  <c:v>PRODUCTION SYSTEM (Sector 3)</c:v>
                </c:pt>
                <c:pt idx="3">
                  <c:v>SOCIETY AS PROVIDER  (Sector 4)</c:v>
                </c:pt>
                <c:pt idx="4">
                  <c:v>SOCIETY AS RECEIVER (Sector 5)</c:v>
                </c:pt>
              </c:strCache>
            </c:strRef>
          </c:cat>
          <c:val>
            <c:numRef>
              <c:f>(Visualization!$T$15,Visualization!$Y$15,Visualization!$AD$15,Visualization!$AI$15,Visualization!$AN$15)</c:f>
              <c:numCache>
                <c:formatCode>0.000</c:formatCode>
                <c:ptCount val="5"/>
                <c:pt idx="0">
                  <c:v>0.49280000000000002</c:v>
                </c:pt>
                <c:pt idx="1">
                  <c:v>5.2340655471970079</c:v>
                </c:pt>
                <c:pt idx="2">
                  <c:v>0.12064555293712168</c:v>
                </c:pt>
                <c:pt idx="3">
                  <c:v>9.5326680863678774</c:v>
                </c:pt>
                <c:pt idx="4">
                  <c:v>105.27369548802213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C-2011-4F5C-ADCD-211FABD496C3}"/>
            </c:ext>
          </c:extLst>
        </c:ser>
        <c:ser>
          <c:idx val="10"/>
          <c:order val="13"/>
          <c:tx>
            <c:strRef>
              <c:f>Visualization!$R$16</c:f>
              <c:strCache>
                <c:ptCount val="1"/>
                <c:pt idx="0">
                  <c:v>SABESP</c:v>
                </c:pt>
              </c:strCache>
            </c:strRef>
          </c:tx>
          <c:spPr>
            <a:ln w="12700">
              <a:solidFill>
                <a:srgbClr val="CCFFCC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CCFFCC"/>
              </a:solidFill>
              <a:ln>
                <a:solidFill>
                  <a:srgbClr val="CCFFCC"/>
                </a:solidFill>
                <a:prstDash val="solid"/>
              </a:ln>
            </c:spPr>
          </c:marker>
          <c:cat>
            <c:strRef>
              <c:f>(Visualization!$T$1,Visualization!$Y$1,Visualization!$AD$1,Visualization!$AI$1,Visualization!$AN$1)</c:f>
              <c:strCache>
                <c:ptCount val="5"/>
                <c:pt idx="0">
                  <c:v>ENVIRONMENT AS PROVIDER ( Sector 1)</c:v>
                </c:pt>
                <c:pt idx="1">
                  <c:v>ENVIRONMENT AS RECEIVER (Sector 2)</c:v>
                </c:pt>
                <c:pt idx="2">
                  <c:v>PRODUCTION SYSTEM (Sector 3)</c:v>
                </c:pt>
                <c:pt idx="3">
                  <c:v>SOCIETY AS PROVIDER  (Sector 4)</c:v>
                </c:pt>
                <c:pt idx="4">
                  <c:v>SOCIETY AS RECEIVER (Sector 5)</c:v>
                </c:pt>
              </c:strCache>
            </c:strRef>
          </c:cat>
          <c:val>
            <c:numRef>
              <c:f>(Visualization!$T$16,Visualization!$Y$16,Visualization!$AD$16,Visualization!$AI$16,Visualization!$AN$16)</c:f>
              <c:numCache>
                <c:formatCode>0.000</c:formatCode>
                <c:ptCount val="5"/>
                <c:pt idx="0">
                  <c:v>0.314</c:v>
                </c:pt>
                <c:pt idx="1">
                  <c:v>3.3778405746577227</c:v>
                </c:pt>
                <c:pt idx="2">
                  <c:v>7.2284435899779759E-2</c:v>
                </c:pt>
                <c:pt idx="3">
                  <c:v>4.0744093474202785</c:v>
                </c:pt>
                <c:pt idx="4">
                  <c:v>216.29430223368584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D-2011-4F5C-ADCD-211FABD496C3}"/>
            </c:ext>
          </c:extLst>
        </c:ser>
        <c:ser>
          <c:idx val="11"/>
          <c:order val="14"/>
          <c:tx>
            <c:strRef>
              <c:f>Visualization!$R$17</c:f>
              <c:strCache>
                <c:ptCount val="1"/>
                <c:pt idx="0">
                  <c:v>CAERN</c:v>
                </c:pt>
              </c:strCache>
            </c:strRef>
          </c:tx>
          <c:spPr>
            <a:ln w="12700">
              <a:solidFill>
                <a:srgbClr val="FFFF99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99"/>
              </a:solidFill>
              <a:ln>
                <a:solidFill>
                  <a:srgbClr val="FFFF99"/>
                </a:solidFill>
                <a:prstDash val="solid"/>
              </a:ln>
            </c:spPr>
          </c:marker>
          <c:cat>
            <c:strRef>
              <c:f>(Visualization!$T$1,Visualization!$Y$1,Visualization!$AD$1,Visualization!$AI$1,Visualization!$AN$1)</c:f>
              <c:strCache>
                <c:ptCount val="5"/>
                <c:pt idx="0">
                  <c:v>ENVIRONMENT AS PROVIDER ( Sector 1)</c:v>
                </c:pt>
                <c:pt idx="1">
                  <c:v>ENVIRONMENT AS RECEIVER (Sector 2)</c:v>
                </c:pt>
                <c:pt idx="2">
                  <c:v>PRODUCTION SYSTEM (Sector 3)</c:v>
                </c:pt>
                <c:pt idx="3">
                  <c:v>SOCIETY AS PROVIDER  (Sector 4)</c:v>
                </c:pt>
                <c:pt idx="4">
                  <c:v>SOCIETY AS RECEIVER (Sector 5)</c:v>
                </c:pt>
              </c:strCache>
            </c:strRef>
          </c:cat>
          <c:val>
            <c:numRef>
              <c:f>(Visualization!$T$17,Visualization!$Y$17,Visualization!$AD$17,Visualization!$AI$17,Visualization!$AN$17)</c:f>
              <c:numCache>
                <c:formatCode>0.000</c:formatCode>
                <c:ptCount val="5"/>
                <c:pt idx="0">
                  <c:v>0.55820000000000003</c:v>
                </c:pt>
                <c:pt idx="1">
                  <c:v>4.3918291324999492</c:v>
                </c:pt>
                <c:pt idx="2">
                  <c:v>8.9592636103192555E-3</c:v>
                </c:pt>
                <c:pt idx="3">
                  <c:v>13.83693166516148</c:v>
                </c:pt>
                <c:pt idx="4">
                  <c:v>136.98600820982736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E-2011-4F5C-ADCD-211FABD496C3}"/>
            </c:ext>
          </c:extLst>
        </c:ser>
        <c:ser>
          <c:idx val="12"/>
          <c:order val="15"/>
          <c:tx>
            <c:strRef>
              <c:f>Visualization!$R$18</c:f>
              <c:strCache>
                <c:ptCount val="1"/>
                <c:pt idx="0">
                  <c:v>CASAL</c:v>
                </c:pt>
              </c:strCache>
            </c:strRef>
          </c:tx>
          <c:spPr>
            <a:ln w="12700">
              <a:solidFill>
                <a:srgbClr val="99CC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99CCFF"/>
                </a:solidFill>
                <a:prstDash val="solid"/>
              </a:ln>
            </c:spPr>
          </c:marker>
          <c:cat>
            <c:strRef>
              <c:f>(Visualization!$T$1,Visualization!$Y$1,Visualization!$AD$1,Visualization!$AI$1,Visualization!$AN$1)</c:f>
              <c:strCache>
                <c:ptCount val="5"/>
                <c:pt idx="0">
                  <c:v>ENVIRONMENT AS PROVIDER ( Sector 1)</c:v>
                </c:pt>
                <c:pt idx="1">
                  <c:v>ENVIRONMENT AS RECEIVER (Sector 2)</c:v>
                </c:pt>
                <c:pt idx="2">
                  <c:v>PRODUCTION SYSTEM (Sector 3)</c:v>
                </c:pt>
                <c:pt idx="3">
                  <c:v>SOCIETY AS PROVIDER  (Sector 4)</c:v>
                </c:pt>
                <c:pt idx="4">
                  <c:v>SOCIETY AS RECEIVER (Sector 5)</c:v>
                </c:pt>
              </c:strCache>
            </c:strRef>
          </c:cat>
          <c:val>
            <c:numRef>
              <c:f>(Visualization!$T$18,Visualization!$Y$18,Visualization!$AD$18,Visualization!$AI$18,Visualization!$AN$18)</c:f>
              <c:numCache>
                <c:formatCode>0.000</c:formatCode>
                <c:ptCount val="5"/>
                <c:pt idx="0">
                  <c:v>0.44799999999999995</c:v>
                </c:pt>
                <c:pt idx="1">
                  <c:v>6.7314045703702519</c:v>
                </c:pt>
                <c:pt idx="2">
                  <c:v>0</c:v>
                </c:pt>
                <c:pt idx="3">
                  <c:v>14.712815824527535</c:v>
                </c:pt>
                <c:pt idx="4">
                  <c:v>96.687786404036558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F-2011-4F5C-ADCD-211FABD496C3}"/>
            </c:ext>
          </c:extLst>
        </c:ser>
        <c:ser>
          <c:idx val="13"/>
          <c:order val="16"/>
          <c:tx>
            <c:strRef>
              <c:f>Plan4!#REF!</c:f>
              <c:strCache>
                <c:ptCount val="1"/>
                <c:pt idx="0">
                  <c:v>#REF!</c:v>
                </c:pt>
              </c:strCache>
            </c:strRef>
          </c:tx>
          <c:spPr>
            <a:ln w="12700">
              <a:solidFill>
                <a:srgbClr val="FF99CC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FF99CC"/>
                </a:solidFill>
                <a:prstDash val="solid"/>
              </a:ln>
            </c:spPr>
          </c:marker>
          <c:cat>
            <c:strRef>
              <c:f>(Visualization!$T$1,Visualization!$Y$1,Visualization!$AD$1,Visualization!$AI$1,Visualization!$AN$1)</c:f>
              <c:strCache>
                <c:ptCount val="5"/>
                <c:pt idx="0">
                  <c:v>ENVIRONMENT AS PROVIDER ( Sector 1)</c:v>
                </c:pt>
                <c:pt idx="1">
                  <c:v>ENVIRONMENT AS RECEIVER (Sector 2)</c:v>
                </c:pt>
                <c:pt idx="2">
                  <c:v>PRODUCTION SYSTEM (Sector 3)</c:v>
                </c:pt>
                <c:pt idx="3">
                  <c:v>SOCIETY AS PROVIDER  (Sector 4)</c:v>
                </c:pt>
                <c:pt idx="4">
                  <c:v>SOCIETY AS RECEIVER (Sector 5)</c:v>
                </c:pt>
              </c:strCache>
            </c:strRef>
          </c:cat>
          <c:val>
            <c:numRef>
              <c:f>(Visualization!#REF!,Visualization!#REF!,Visualization!#REF!,Visualization!#REF!,Visualization!$AN$23)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0-2011-4F5C-ADCD-211FABD496C3}"/>
            </c:ext>
          </c:extLst>
        </c:ser>
        <c:ser>
          <c:idx val="15"/>
          <c:order val="17"/>
          <c:tx>
            <c:strRef>
              <c:f>Plan4!#REF!</c:f>
              <c:strCache>
                <c:ptCount val="1"/>
                <c:pt idx="0">
                  <c:v>#REF!</c:v>
                </c:pt>
              </c:strCache>
            </c:strRef>
          </c:tx>
          <c:spPr>
            <a:ln w="12700">
              <a:solidFill>
                <a:srgbClr val="FFCC99"/>
              </a:solidFill>
              <a:prstDash val="solid"/>
            </a:ln>
          </c:spPr>
          <c:marker>
            <c:symbol val="plus"/>
            <c:size val="5"/>
            <c:spPr>
              <a:noFill/>
              <a:ln>
                <a:solidFill>
                  <a:srgbClr val="FFCC99"/>
                </a:solidFill>
                <a:prstDash val="solid"/>
              </a:ln>
            </c:spPr>
          </c:marker>
          <c:cat>
            <c:strRef>
              <c:f>(Visualization!$T$1,Visualization!$Y$1,Visualization!$AD$1,Visualization!$AI$1,Visualization!$AN$1)</c:f>
              <c:strCache>
                <c:ptCount val="5"/>
                <c:pt idx="0">
                  <c:v>ENVIRONMENT AS PROVIDER ( Sector 1)</c:v>
                </c:pt>
                <c:pt idx="1">
                  <c:v>ENVIRONMENT AS RECEIVER (Sector 2)</c:v>
                </c:pt>
                <c:pt idx="2">
                  <c:v>PRODUCTION SYSTEM (Sector 3)</c:v>
                </c:pt>
                <c:pt idx="3">
                  <c:v>SOCIETY AS PROVIDER  (Sector 4)</c:v>
                </c:pt>
                <c:pt idx="4">
                  <c:v>SOCIETY AS RECEIVER (Sector 5)</c:v>
                </c:pt>
              </c:strCache>
            </c:strRef>
          </c:cat>
          <c:val>
            <c:numRef>
              <c:f>(Visualization!#REF!,Visualization!#REF!,Visualization!#REF!,Visualization!#REF!,Visualization!$AN$24)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1-2011-4F5C-ADCD-211FABD496C3}"/>
            </c:ext>
          </c:extLst>
        </c:ser>
        <c:ser>
          <c:idx val="16"/>
          <c:order val="18"/>
          <c:tx>
            <c:strRef>
              <c:f>Plan4!#REF!</c:f>
              <c:strCache>
                <c:ptCount val="1"/>
                <c:pt idx="0">
                  <c:v>#REF!</c:v>
                </c:pt>
              </c:strCache>
            </c:strRef>
          </c:tx>
          <c:spPr>
            <a:ln w="12700">
              <a:solidFill>
                <a:srgbClr val="3366FF"/>
              </a:solidFill>
              <a:prstDash val="solid"/>
            </a:ln>
          </c:spPr>
          <c:marker>
            <c:symbol val="dot"/>
            <c:size val="5"/>
            <c:spPr>
              <a:noFill/>
              <a:ln>
                <a:solidFill>
                  <a:srgbClr val="3366FF"/>
                </a:solidFill>
                <a:prstDash val="solid"/>
              </a:ln>
            </c:spPr>
          </c:marker>
          <c:cat>
            <c:strRef>
              <c:f>(Visualization!$T$1,Visualization!$Y$1,Visualization!$AD$1,Visualization!$AI$1,Visualization!$AN$1)</c:f>
              <c:strCache>
                <c:ptCount val="5"/>
                <c:pt idx="0">
                  <c:v>ENVIRONMENT AS PROVIDER ( Sector 1)</c:v>
                </c:pt>
                <c:pt idx="1">
                  <c:v>ENVIRONMENT AS RECEIVER (Sector 2)</c:v>
                </c:pt>
                <c:pt idx="2">
                  <c:v>PRODUCTION SYSTEM (Sector 3)</c:v>
                </c:pt>
                <c:pt idx="3">
                  <c:v>SOCIETY AS PROVIDER  (Sector 4)</c:v>
                </c:pt>
                <c:pt idx="4">
                  <c:v>SOCIETY AS RECEIVER (Sector 5)</c:v>
                </c:pt>
              </c:strCache>
            </c:strRef>
          </c:cat>
          <c:val>
            <c:numRef>
              <c:f>(Visualization!#REF!,Visualization!#REF!,Visualization!#REF!,Visualization!#REF!,Visualization!$AN$25)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2-2011-4F5C-ADCD-211FABD496C3}"/>
            </c:ext>
          </c:extLst>
        </c:ser>
        <c:ser>
          <c:idx val="17"/>
          <c:order val="19"/>
          <c:tx>
            <c:strRef>
              <c:f>Plan4!#REF!</c:f>
              <c:strCache>
                <c:ptCount val="1"/>
                <c:pt idx="0">
                  <c:v>#REF!</c:v>
                </c:pt>
              </c:strCache>
            </c:strRef>
          </c:tx>
          <c:spPr>
            <a:ln w="12700">
              <a:solidFill>
                <a:srgbClr val="33CCCC"/>
              </a:solidFill>
              <a:prstDash val="solid"/>
            </a:ln>
          </c:spPr>
          <c:marker>
            <c:symbol val="dash"/>
            <c:size val="5"/>
            <c:spPr>
              <a:noFill/>
              <a:ln>
                <a:solidFill>
                  <a:srgbClr val="33CCCC"/>
                </a:solidFill>
                <a:prstDash val="solid"/>
              </a:ln>
            </c:spPr>
          </c:marker>
          <c:cat>
            <c:strRef>
              <c:f>(Visualization!$T$1,Visualization!$Y$1,Visualization!$AD$1,Visualization!$AI$1,Visualization!$AN$1)</c:f>
              <c:strCache>
                <c:ptCount val="5"/>
                <c:pt idx="0">
                  <c:v>ENVIRONMENT AS PROVIDER ( Sector 1)</c:v>
                </c:pt>
                <c:pt idx="1">
                  <c:v>ENVIRONMENT AS RECEIVER (Sector 2)</c:v>
                </c:pt>
                <c:pt idx="2">
                  <c:v>PRODUCTION SYSTEM (Sector 3)</c:v>
                </c:pt>
                <c:pt idx="3">
                  <c:v>SOCIETY AS PROVIDER  (Sector 4)</c:v>
                </c:pt>
                <c:pt idx="4">
                  <c:v>SOCIETY AS RECEIVER (Sector 5)</c:v>
                </c:pt>
              </c:strCache>
            </c:strRef>
          </c:cat>
          <c:val>
            <c:numRef>
              <c:f>(Visualization!#REF!,Visualization!#REF!,Visualization!#REF!,Visualization!#REF!,Visualization!$AN$26)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3-2011-4F5C-ADCD-211FABD496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601417360"/>
        <c:axId val="-840835712"/>
      </c:radarChart>
      <c:catAx>
        <c:axId val="-601417904"/>
        <c:scaling>
          <c:orientation val="minMax"/>
        </c:scaling>
        <c:delete val="0"/>
        <c:axPos val="b"/>
        <c:majorGridlines/>
        <c:numFmt formatCode="#,##0.0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Franklin Gothic Book"/>
                <a:ea typeface="Franklin Gothic Book"/>
                <a:cs typeface="Franklin Gothic Book"/>
              </a:defRPr>
            </a:pPr>
            <a:endParaRPr lang="pt-BR"/>
          </a:p>
        </c:txPr>
        <c:crossAx val="-601404848"/>
        <c:crosses val="autoZero"/>
        <c:auto val="0"/>
        <c:lblAlgn val="ctr"/>
        <c:lblOffset val="100"/>
        <c:noMultiLvlLbl val="0"/>
      </c:catAx>
      <c:valAx>
        <c:axId val="-601404848"/>
        <c:scaling>
          <c:orientation val="minMax"/>
        </c:scaling>
        <c:delete val="0"/>
        <c:axPos val="l"/>
        <c:majorGridlines/>
        <c:numFmt formatCode="0.000" sourceLinked="1"/>
        <c:majorTickMark val="none"/>
        <c:minorTickMark val="none"/>
        <c:tickLblPos val="nextTo"/>
        <c:txPr>
          <a:bodyPr/>
          <a:lstStyle/>
          <a:p>
            <a:pPr>
              <a:defRPr sz="1000"/>
            </a:pPr>
            <a:endParaRPr lang="pt-BR"/>
          </a:p>
        </c:txPr>
        <c:crossAx val="-601417904"/>
        <c:crosses val="autoZero"/>
        <c:crossBetween val="between"/>
      </c:valAx>
      <c:catAx>
        <c:axId val="-601417360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-840835712"/>
        <c:crosses val="max"/>
        <c:auto val="0"/>
        <c:lblAlgn val="ctr"/>
        <c:lblOffset val="100"/>
        <c:noMultiLvlLbl val="0"/>
      </c:catAx>
      <c:valAx>
        <c:axId val="-840835712"/>
        <c:scaling>
          <c:logBase val="10"/>
          <c:orientation val="minMax"/>
        </c:scaling>
        <c:delete val="0"/>
        <c:axPos val="l"/>
        <c:numFmt formatCode="0.000" sourceLinked="1"/>
        <c:majorTickMark val="out"/>
        <c:minorTickMark val="none"/>
        <c:tickLblPos val="nextTo"/>
        <c:crossAx val="-601417360"/>
        <c:crosses val="max"/>
        <c:crossBetween val="between"/>
      </c:valAx>
      <c:spPr>
        <a:ln>
          <a:noFill/>
        </a:ln>
      </c:spPr>
    </c:plotArea>
    <c:legend>
      <c:legendPos val="r"/>
      <c:layout>
        <c:manualLayout>
          <c:xMode val="edge"/>
          <c:yMode val="edge"/>
          <c:x val="0.6561558124172101"/>
          <c:y val="0.44536146410799288"/>
          <c:w val="0.33505828719176689"/>
          <c:h val="0.14634595777990841"/>
        </c:manualLayout>
      </c:layout>
      <c:overlay val="0"/>
      <c:spPr>
        <a:solidFill>
          <a:schemeClr val="bg1"/>
        </a:solidFill>
      </c:spPr>
    </c:legend>
    <c:plotVisOnly val="1"/>
    <c:dispBlanksAs val="gap"/>
    <c:showDLblsOverMax val="0"/>
  </c:chart>
  <c:spPr>
    <a:solidFill>
      <a:schemeClr val="bg1"/>
    </a:solidFill>
  </c:spPr>
  <c:txPr>
    <a:bodyPr/>
    <a:lstStyle/>
    <a:p>
      <a:pPr>
        <a:defRPr sz="1100" b="0"/>
      </a:pPr>
      <a:endParaRPr lang="pt-BR"/>
    </a:p>
  </c:txPr>
  <c:printSettings>
    <c:headerFooter/>
    <c:pageMargins b="0.78740157499999996" l="0.511811024" r="0.511811024" t="0.78740157499999996" header="0.31496062000000036" footer="0.31496062000000036"/>
    <c:pageSetup orientation="portrait"/>
  </c:printSettings>
</c:chartSpace>
</file>

<file path=xl/ctrlProps/ctrlProp1.xml><?xml version="1.0" encoding="utf-8"?>
<formControlPr xmlns="http://schemas.microsoft.com/office/spreadsheetml/2009/9/main" objectType="Button" lockText="1"/>
</file>

<file path=xl/ctrlProps/ctrlProp10.xml><?xml version="1.0" encoding="utf-8"?>
<formControlPr xmlns="http://schemas.microsoft.com/office/spreadsheetml/2009/9/main" objectType="CheckBox" checked="Checked" fmlaLink="$B$25" lockText="1"/>
</file>

<file path=xl/ctrlProps/ctrlProp11.xml><?xml version="1.0" encoding="utf-8"?>
<formControlPr xmlns="http://schemas.microsoft.com/office/spreadsheetml/2009/9/main" objectType="CheckBox" checked="Checked" fmlaLink="$B$26" lockText="1"/>
</file>

<file path=xl/ctrlProps/ctrlProp12.xml><?xml version="1.0" encoding="utf-8"?>
<formControlPr xmlns="http://schemas.microsoft.com/office/spreadsheetml/2009/9/main" objectType="CheckBox" checked="Checked" fmlaLink="$B$27" lockText="1"/>
</file>

<file path=xl/ctrlProps/ctrlProp13.xml><?xml version="1.0" encoding="utf-8"?>
<formControlPr xmlns="http://schemas.microsoft.com/office/spreadsheetml/2009/9/main" objectType="CheckBox" checked="Checked" fmlaLink="$B$28" lockText="1"/>
</file>

<file path=xl/ctrlProps/ctrlProp14.xml><?xml version="1.0" encoding="utf-8"?>
<formControlPr xmlns="http://schemas.microsoft.com/office/spreadsheetml/2009/9/main" objectType="CheckBox" checked="Checked" fmlaLink="$B$29" lockText="1"/>
</file>

<file path=xl/ctrlProps/ctrlProp15.xml><?xml version="1.0" encoding="utf-8"?>
<formControlPr xmlns="http://schemas.microsoft.com/office/spreadsheetml/2009/9/main" objectType="CheckBox" checked="Checked" fmlaLink="$B$30" lockText="1"/>
</file>

<file path=xl/ctrlProps/ctrlProp16.xml><?xml version="1.0" encoding="utf-8"?>
<formControlPr xmlns="http://schemas.microsoft.com/office/spreadsheetml/2009/9/main" objectType="CheckBox" checked="Checked" fmlaLink="$B$33" lockText="1"/>
</file>

<file path=xl/ctrlProps/ctrlProp17.xml><?xml version="1.0" encoding="utf-8"?>
<formControlPr xmlns="http://schemas.microsoft.com/office/spreadsheetml/2009/9/main" objectType="CheckBox" checked="Checked" fmlaLink="$B$31" lockText="1"/>
</file>

<file path=xl/ctrlProps/ctrlProp18.xml><?xml version="1.0" encoding="utf-8"?>
<formControlPr xmlns="http://schemas.microsoft.com/office/spreadsheetml/2009/9/main" objectType="CheckBox" checked="Checked" fmlaLink="$B$32" lockText="1"/>
</file>

<file path=xl/ctrlProps/ctrlProp2.xml><?xml version="1.0" encoding="utf-8"?>
<formControlPr xmlns="http://schemas.microsoft.com/office/spreadsheetml/2009/9/main" objectType="Label"/>
</file>

<file path=xl/ctrlProps/ctrlProp3.xml><?xml version="1.0" encoding="utf-8"?>
<formControlPr xmlns="http://schemas.microsoft.com/office/spreadsheetml/2009/9/main" objectType="CheckBox" checked="Checked" fmlaLink="$B$18" lockText="1"/>
</file>

<file path=xl/ctrlProps/ctrlProp4.xml><?xml version="1.0" encoding="utf-8"?>
<formControlPr xmlns="http://schemas.microsoft.com/office/spreadsheetml/2009/9/main" objectType="CheckBox" checked="Checked" fmlaLink="$B$19" lockText="1"/>
</file>

<file path=xl/ctrlProps/ctrlProp5.xml><?xml version="1.0" encoding="utf-8"?>
<formControlPr xmlns="http://schemas.microsoft.com/office/spreadsheetml/2009/9/main" objectType="CheckBox" checked="Checked" fmlaLink="$B$20" lockText="1"/>
</file>

<file path=xl/ctrlProps/ctrlProp6.xml><?xml version="1.0" encoding="utf-8"?>
<formControlPr xmlns="http://schemas.microsoft.com/office/spreadsheetml/2009/9/main" objectType="CheckBox" checked="Checked" fmlaLink="$B$21" lockText="1"/>
</file>

<file path=xl/ctrlProps/ctrlProp7.xml><?xml version="1.0" encoding="utf-8"?>
<formControlPr xmlns="http://schemas.microsoft.com/office/spreadsheetml/2009/9/main" objectType="CheckBox" checked="Checked" fmlaLink="$B$22" lockText="1"/>
</file>

<file path=xl/ctrlProps/ctrlProp8.xml><?xml version="1.0" encoding="utf-8"?>
<formControlPr xmlns="http://schemas.microsoft.com/office/spreadsheetml/2009/9/main" objectType="CheckBox" checked="Checked" fmlaLink="$B$23" lockText="1"/>
</file>

<file path=xl/ctrlProps/ctrlProp9.xml><?xml version="1.0" encoding="utf-8"?>
<formControlPr xmlns="http://schemas.microsoft.com/office/spreadsheetml/2009/9/main" objectType="CheckBox" checked="Checked" fmlaLink="$B$24" lockText="1"/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6" Type="http://schemas.openxmlformats.org/officeDocument/2006/relationships/image" Target="../media/image3.png"/><Relationship Id="rId5" Type="http://schemas.openxmlformats.org/officeDocument/2006/relationships/image" Target="../media/image2.png"/><Relationship Id="rId4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9524</xdr:colOff>
      <xdr:row>32</xdr:row>
      <xdr:rowOff>190499</xdr:rowOff>
    </xdr:from>
    <xdr:to>
      <xdr:col>5</xdr:col>
      <xdr:colOff>161924</xdr:colOff>
      <xdr:row>36</xdr:row>
      <xdr:rowOff>161924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5 Rectángulo">
              <a:extLst>
                <a:ext uri="{FF2B5EF4-FFF2-40B4-BE49-F238E27FC236}">
                  <a16:creationId xmlns:a16="http://schemas.microsoft.com/office/drawing/2014/main" xmlns="" id="{00000000-0008-0000-0100-000006000000}"/>
                </a:ext>
              </a:extLst>
            </xdr:cNvPr>
            <xdr:cNvSpPr/>
          </xdr:nvSpPr>
          <xdr:spPr>
            <a:xfrm>
              <a:off x="1781174" y="5810249"/>
              <a:ext cx="2771775" cy="771525"/>
            </a:xfrm>
            <a:prstGeom prst="rect">
              <a:avLst/>
            </a:prstGeom>
          </xdr:spPr>
          <xdr:txBody>
            <a:bodyPr wrap="square">
              <a:noAutofit/>
            </a:bodyPr>
            <a:lstStyle>
              <a:defPPr>
                <a:defRPr lang="es-E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ES" sz="1400" i="1">
                        <a:latin typeface="Cambria Math"/>
                      </a:rPr>
                      <m:t> </m:t>
                    </m:r>
                    <m:sSubSup>
                      <m:sSubSupPr>
                        <m:ctrlPr>
                          <a:rPr lang="es-ES" sz="1400" i="1">
                            <a:latin typeface="Cambria Math" panose="02040503050406030204" pitchFamily="18" charset="0"/>
                          </a:rPr>
                        </m:ctrlPr>
                      </m:sSubSupPr>
                      <m:e>
                        <m:r>
                          <a:rPr lang="en-GB" sz="1400" i="1">
                            <a:latin typeface="Cambria Math"/>
                          </a:rPr>
                          <m:t>𝑁</m:t>
                        </m:r>
                      </m:e>
                      <m:sub>
                        <m:r>
                          <a:rPr lang="en-GB" sz="1400" i="1">
                            <a:latin typeface="Cambria Math"/>
                          </a:rPr>
                          <m:t>𝑖𝑗𝑘</m:t>
                        </m:r>
                      </m:sub>
                      <m:sup>
                        <m:r>
                          <a:rPr lang="es-ES" sz="1400" i="1">
                            <a:latin typeface="Cambria Math"/>
                          </a:rPr>
                          <m:t>+</m:t>
                        </m:r>
                      </m:sup>
                    </m:sSubSup>
                    <m:r>
                      <a:rPr lang="es-ES" sz="1400" i="1">
                        <a:latin typeface="Cambria Math"/>
                      </a:rPr>
                      <m:t>=</m:t>
                    </m:r>
                    <m:d>
                      <m:dPr>
                        <m:begChr m:val="{"/>
                        <m:endChr m:val=""/>
                        <m:ctrlPr>
                          <a:rPr lang="es-ES" sz="140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eqArr>
                          <m:eqArrPr>
                            <m:ctrlPr>
                              <a:rPr lang="es-ES" sz="140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sSubSup>
                              <m:sSubSupPr>
                                <m:ctrlPr>
                                  <a:rPr lang="es-ES" sz="1400" i="1">
                                    <a:latin typeface="Cambria Math" panose="02040503050406030204" pitchFamily="18" charset="0"/>
                                  </a:rPr>
                                </m:ctrlPr>
                              </m:sSubSupPr>
                              <m:e>
                                <m:r>
                                  <a:rPr lang="en-GB" sz="1400" i="1">
                                    <a:latin typeface="Cambria Math"/>
                                  </a:rPr>
                                  <m:t>𝐺</m:t>
                                </m:r>
                              </m:e>
                              <m:sub>
                                <m:r>
                                  <a:rPr lang="en-GB" sz="1400" i="1">
                                    <a:latin typeface="Cambria Math"/>
                                  </a:rPr>
                                  <m:t>𝑗𝑘</m:t>
                                </m:r>
                              </m:sub>
                              <m:sup>
                                <m:r>
                                  <a:rPr lang="es-ES" sz="1400" i="1">
                                    <a:latin typeface="Cambria Math"/>
                                  </a:rPr>
                                  <m:t>+</m:t>
                                </m:r>
                              </m:sup>
                            </m:sSubSup>
                            <m:r>
                              <a:rPr lang="es-ES" sz="1400" i="1">
                                <a:latin typeface="Cambria Math"/>
                              </a:rPr>
                              <m:t>−</m:t>
                            </m:r>
                            <m:sSub>
                              <m:sSubPr>
                                <m:ctrlPr>
                                  <a:rPr lang="es-ES" sz="1400" i="1">
                                    <a:latin typeface="Cambria Math" panose="02040503050406030204" pitchFamily="18" charset="0"/>
                                  </a:rPr>
                                </m:ctrlPr>
                              </m:sSubPr>
                              <m:e>
                                <m:r>
                                  <a:rPr lang="en-GB" sz="1400" i="1">
                                    <a:latin typeface="Cambria Math"/>
                                  </a:rPr>
                                  <m:t>𝐾</m:t>
                                </m:r>
                              </m:e>
                              <m:sub>
                                <m:r>
                                  <a:rPr lang="en-GB" sz="1400" i="1">
                                    <a:latin typeface="Cambria Math"/>
                                  </a:rPr>
                                  <m:t>𝑖𝑗𝑘</m:t>
                                </m:r>
                              </m:sub>
                            </m:sSub>
                            <m:r>
                              <a:rPr lang="es-ES" sz="1400" i="1">
                                <a:latin typeface="Cambria Math"/>
                              </a:rPr>
                              <m:t>, </m:t>
                            </m:r>
                            <m:sSub>
                              <m:sSubPr>
                                <m:ctrlPr>
                                  <a:rPr lang="es-ES" sz="1400" i="1" kern="1200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sSubPr>
                              <m:e>
                                <m:r>
                                  <a:rPr lang="en-GB" sz="1400" i="1" kern="1200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/>
                                    <a:ea typeface="+mn-ea"/>
                                    <a:cs typeface="+mn-cs"/>
                                  </a:rPr>
                                  <m:t>𝐾</m:t>
                                </m:r>
                              </m:e>
                              <m:sub>
                                <m:r>
                                  <a:rPr lang="en-GB" sz="1400" i="1" kern="1200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/>
                                    <a:ea typeface="+mn-ea"/>
                                    <a:cs typeface="+mn-cs"/>
                                  </a:rPr>
                                  <m:t>𝑖𝑗𝑘</m:t>
                                </m:r>
                              </m:sub>
                            </m:sSub>
                            <m:r>
                              <a:rPr lang="es-ES" sz="1400" i="1">
                                <a:latin typeface="Cambria Math"/>
                              </a:rPr>
                              <m:t>&lt;</m:t>
                            </m:r>
                            <m:sSubSup>
                              <m:sSubSupPr>
                                <m:ctrlPr>
                                  <a:rPr lang="es-ES" sz="1400" i="1">
                                    <a:latin typeface="Cambria Math" panose="02040503050406030204" pitchFamily="18" charset="0"/>
                                  </a:rPr>
                                </m:ctrlPr>
                              </m:sSubSupPr>
                              <m:e>
                                <m:r>
                                  <a:rPr lang="en-GB" sz="1400" i="1">
                                    <a:latin typeface="Cambria Math"/>
                                  </a:rPr>
                                  <m:t>𝐺</m:t>
                                </m:r>
                              </m:e>
                              <m:sub>
                                <m:r>
                                  <a:rPr lang="en-GB" sz="1400" i="1">
                                    <a:latin typeface="Cambria Math"/>
                                  </a:rPr>
                                  <m:t>𝑗𝑘</m:t>
                                </m:r>
                              </m:sub>
                              <m:sup>
                                <m:r>
                                  <a:rPr lang="es-ES" sz="1400" i="1">
                                    <a:latin typeface="Cambria Math"/>
                                  </a:rPr>
                                  <m:t>+</m:t>
                                </m:r>
                              </m:sup>
                            </m:sSubSup>
                          </m:e>
                          <m:e>
                            <m:r>
                              <a:rPr lang="es-ES" sz="1400" i="1">
                                <a:latin typeface="Cambria Math"/>
                              </a:rPr>
                              <m:t>0,  </m:t>
                            </m:r>
                            <m:sSub>
                              <m:sSubPr>
                                <m:ctrlPr>
                                  <a:rPr lang="es-ES" sz="1400" i="1">
                                    <a:latin typeface="Cambria Math" panose="02040503050406030204" pitchFamily="18" charset="0"/>
                                  </a:rPr>
                                </m:ctrlPr>
                              </m:sSubPr>
                              <m:e>
                                <m:r>
                                  <a:rPr lang="en-GB" sz="1400" i="1">
                                    <a:latin typeface="Cambria Math"/>
                                  </a:rPr>
                                  <m:t>𝐾</m:t>
                                </m:r>
                              </m:e>
                              <m:sub>
                                <m:r>
                                  <a:rPr lang="en-GB" sz="1400" i="1">
                                    <a:latin typeface="Cambria Math"/>
                                  </a:rPr>
                                  <m:t>𝑖𝑗𝑘</m:t>
                                </m:r>
                              </m:sub>
                            </m:sSub>
                            <m:r>
                              <a:rPr lang="es-ES" sz="1400" i="1">
                                <a:latin typeface="Cambria Math"/>
                              </a:rPr>
                              <m:t>≥</m:t>
                            </m:r>
                            <m:sSubSup>
                              <m:sSubSupPr>
                                <m:ctrlPr>
                                  <a:rPr lang="es-ES" sz="1400" i="1">
                                    <a:latin typeface="Cambria Math" panose="02040503050406030204" pitchFamily="18" charset="0"/>
                                  </a:rPr>
                                </m:ctrlPr>
                              </m:sSubSupPr>
                              <m:e>
                                <m:r>
                                  <a:rPr lang="en-GB" sz="1400" i="1">
                                    <a:latin typeface="Cambria Math"/>
                                  </a:rPr>
                                  <m:t>𝐺</m:t>
                                </m:r>
                              </m:e>
                              <m:sub>
                                <m:r>
                                  <a:rPr lang="en-GB" sz="1400" i="1">
                                    <a:latin typeface="Cambria Math"/>
                                  </a:rPr>
                                  <m:t>𝑗𝑘</m:t>
                                </m:r>
                              </m:sub>
                              <m:sup>
                                <m:r>
                                  <a:rPr lang="es-ES" sz="1400" i="1">
                                    <a:latin typeface="Cambria Math"/>
                                  </a:rPr>
                                  <m:t>+</m:t>
                                </m:r>
                              </m:sup>
                            </m:sSubSup>
                          </m:e>
                        </m:eqArr>
                      </m:e>
                    </m:d>
                  </m:oMath>
                </m:oMathPara>
              </a14:m>
              <a:endParaRPr lang="es-ES" sz="1400"/>
            </a:p>
          </xdr:txBody>
        </xdr:sp>
      </mc:Choice>
      <mc:Fallback xmlns="">
        <xdr:sp macro="" textlink="">
          <xdr:nvSpPr>
            <xdr:cNvPr id="6" name="5 Rectángulo"/>
            <xdr:cNvSpPr/>
          </xdr:nvSpPr>
          <xdr:spPr>
            <a:xfrm>
              <a:off x="1781174" y="5810249"/>
              <a:ext cx="2771775" cy="771525"/>
            </a:xfrm>
            <a:prstGeom prst="rect">
              <a:avLst/>
            </a:prstGeom>
          </xdr:spPr>
          <xdr:txBody>
            <a:bodyPr wrap="square">
              <a:noAutofit/>
            </a:bodyPr>
            <a:lstStyle>
              <a:defPPr>
                <a:defRPr lang="es-E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/>
              <a:r>
                <a:rPr lang="es-ES" sz="1400" i="0">
                  <a:latin typeface="Cambria Math"/>
                </a:rPr>
                <a:t> </a:t>
              </a:r>
              <a:r>
                <a:rPr lang="en-GB" sz="1400" i="0">
                  <a:latin typeface="Cambria Math"/>
                </a:rPr>
                <a:t>𝑁</a:t>
              </a:r>
              <a:r>
                <a:rPr lang="es-ES" sz="1400" i="0">
                  <a:latin typeface="Cambria Math"/>
                </a:rPr>
                <a:t>_</a:t>
              </a:r>
              <a:r>
                <a:rPr lang="en-GB" sz="1400" i="0">
                  <a:latin typeface="Cambria Math"/>
                </a:rPr>
                <a:t>𝑖𝑗𝑘^</a:t>
              </a:r>
              <a:r>
                <a:rPr lang="es-ES" sz="1400" i="0">
                  <a:latin typeface="Cambria Math"/>
                </a:rPr>
                <a:t>+={█(</a:t>
              </a:r>
              <a:r>
                <a:rPr lang="en-GB" sz="1400" i="0">
                  <a:latin typeface="Cambria Math"/>
                </a:rPr>
                <a:t>𝐺</a:t>
              </a:r>
              <a:r>
                <a:rPr lang="es-ES" sz="1400" i="0">
                  <a:latin typeface="Cambria Math"/>
                </a:rPr>
                <a:t>_</a:t>
              </a:r>
              <a:r>
                <a:rPr lang="en-GB" sz="1400" i="0">
                  <a:latin typeface="Cambria Math"/>
                </a:rPr>
                <a:t>𝑗𝑘^</a:t>
              </a:r>
              <a:r>
                <a:rPr lang="es-ES" sz="1400" i="0">
                  <a:latin typeface="Cambria Math"/>
                </a:rPr>
                <a:t>+−</a:t>
              </a:r>
              <a:r>
                <a:rPr lang="en-GB" sz="1400" i="0">
                  <a:latin typeface="Cambria Math"/>
                </a:rPr>
                <a:t>𝐾</a:t>
              </a:r>
              <a:r>
                <a:rPr lang="es-ES" sz="1400" i="0">
                  <a:latin typeface="Cambria Math"/>
                </a:rPr>
                <a:t>_</a:t>
              </a:r>
              <a:r>
                <a:rPr lang="en-GB" sz="1400" i="0">
                  <a:latin typeface="Cambria Math"/>
                </a:rPr>
                <a:t>𝑖𝑗𝑘</a:t>
              </a:r>
              <a:r>
                <a:rPr lang="es-ES" sz="1400" i="0">
                  <a:latin typeface="Cambria Math"/>
                </a:rPr>
                <a:t>, </a:t>
              </a:r>
              <a:r>
                <a:rPr lang="en-GB" sz="1400" i="0" kern="12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𝐾</a:t>
              </a:r>
              <a:r>
                <a:rPr lang="es-ES" sz="1400" i="0" kern="12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</a:t>
              </a:r>
              <a:r>
                <a:rPr lang="en-GB" sz="1400" i="0" kern="12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𝑖𝑗𝑘</a:t>
              </a:r>
              <a:r>
                <a:rPr lang="es-ES" sz="1400" i="0">
                  <a:latin typeface="Cambria Math"/>
                </a:rPr>
                <a:t>&lt;</a:t>
              </a:r>
              <a:r>
                <a:rPr lang="en-GB" sz="1400" i="0">
                  <a:latin typeface="Cambria Math"/>
                </a:rPr>
                <a:t>𝐺</a:t>
              </a:r>
              <a:r>
                <a:rPr lang="es-ES" sz="1400" i="0">
                  <a:latin typeface="Cambria Math"/>
                </a:rPr>
                <a:t>_</a:t>
              </a:r>
              <a:r>
                <a:rPr lang="en-GB" sz="1400" i="0">
                  <a:latin typeface="Cambria Math"/>
                </a:rPr>
                <a:t>𝑗𝑘^</a:t>
              </a:r>
              <a:r>
                <a:rPr lang="es-ES" sz="1400" i="0">
                  <a:latin typeface="Cambria Math"/>
                </a:rPr>
                <a:t>+@0,  </a:t>
              </a:r>
              <a:r>
                <a:rPr lang="en-GB" sz="1400" i="0">
                  <a:latin typeface="Cambria Math"/>
                </a:rPr>
                <a:t>𝐾</a:t>
              </a:r>
              <a:r>
                <a:rPr lang="es-ES" sz="1400" i="0">
                  <a:latin typeface="Cambria Math"/>
                </a:rPr>
                <a:t>_</a:t>
              </a:r>
              <a:r>
                <a:rPr lang="en-GB" sz="1400" i="0">
                  <a:latin typeface="Cambria Math"/>
                </a:rPr>
                <a:t>𝑖𝑗𝑘</a:t>
              </a:r>
              <a:r>
                <a:rPr lang="es-ES" sz="1400" i="0">
                  <a:latin typeface="Cambria Math"/>
                </a:rPr>
                <a:t>≥</a:t>
              </a:r>
              <a:r>
                <a:rPr lang="en-GB" sz="1400" i="0">
                  <a:latin typeface="Cambria Math"/>
                </a:rPr>
                <a:t>𝐺</a:t>
              </a:r>
              <a:r>
                <a:rPr lang="es-ES" sz="1400" i="0">
                  <a:latin typeface="Cambria Math"/>
                </a:rPr>
                <a:t>_</a:t>
              </a:r>
              <a:r>
                <a:rPr lang="en-GB" sz="1400" i="0">
                  <a:latin typeface="Cambria Math"/>
                </a:rPr>
                <a:t>𝑗𝑘^</a:t>
              </a:r>
              <a:r>
                <a:rPr lang="es-ES" sz="1400" i="0">
                  <a:latin typeface="Cambria Math"/>
                </a:rPr>
                <a:t>+ )┤</a:t>
              </a:r>
              <a:endParaRPr lang="es-ES" sz="1400"/>
            </a:p>
          </xdr:txBody>
        </xdr:sp>
      </mc:Fallback>
    </mc:AlternateContent>
    <xdr:clientData/>
  </xdr:twoCellAnchor>
  <xdr:twoCellAnchor>
    <xdr:from>
      <xdr:col>2</xdr:col>
      <xdr:colOff>187325</xdr:colOff>
      <xdr:row>37</xdr:row>
      <xdr:rowOff>123825</xdr:rowOff>
    </xdr:from>
    <xdr:to>
      <xdr:col>5</xdr:col>
      <xdr:colOff>21121</xdr:colOff>
      <xdr:row>40</xdr:row>
      <xdr:rowOff>138470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8" name="4 Rectángulo">
              <a:extLst>
                <a:ext uri="{FF2B5EF4-FFF2-40B4-BE49-F238E27FC236}">
                  <a16:creationId xmlns:a16="http://schemas.microsoft.com/office/drawing/2014/main" xmlns="" id="{00000000-0008-0000-0100-000008000000}"/>
                </a:ext>
              </a:extLst>
            </xdr:cNvPr>
            <xdr:cNvSpPr/>
          </xdr:nvSpPr>
          <xdr:spPr>
            <a:xfrm>
              <a:off x="1626658" y="7585075"/>
              <a:ext cx="2447880" cy="617895"/>
            </a:xfrm>
            <a:prstGeom prst="rect">
              <a:avLst/>
            </a:prstGeom>
          </xdr:spPr>
          <xdr:txBody>
            <a:bodyPr wrap="square">
              <a:spAutoFit/>
            </a:bodyPr>
            <a:lstStyle>
              <a:defPPr>
                <a:defRPr lang="es-E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es-ES" sz="1400" i="1">
                            <a:solidFill>
                              <a:schemeClr val="tx1"/>
                            </a:solidFill>
                            <a:latin typeface="Cambria Math" panose="02040503050406030204" pitchFamily="18" charset="0"/>
                          </a:rPr>
                        </m:ctrlPr>
                      </m:sSubSupPr>
                      <m:e>
                        <m:r>
                          <a:rPr lang="en-GB" sz="14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Times New Roman"/>
                            <a:cs typeface="Times New Roman"/>
                          </a:rPr>
                          <m:t>𝑃</m:t>
                        </m:r>
                      </m:e>
                      <m:sub>
                        <m:r>
                          <a:rPr lang="en-GB" sz="14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Times New Roman"/>
                            <a:cs typeface="Times New Roman"/>
                          </a:rPr>
                          <m:t>𝑖𝑗𝑘</m:t>
                        </m:r>
                      </m:sub>
                      <m:sup>
                        <m:r>
                          <a:rPr lang="es-ES" sz="14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Times New Roman"/>
                            <a:cs typeface="Times New Roman"/>
                          </a:rPr>
                          <m:t>+</m:t>
                        </m:r>
                      </m:sup>
                    </m:sSubSup>
                    <m:r>
                      <a:rPr lang="es-ES" sz="1400" i="1">
                        <a:solidFill>
                          <a:schemeClr val="tx1"/>
                        </a:solidFill>
                        <a:effectLst/>
                        <a:latin typeface="Cambria Math"/>
                        <a:ea typeface="Times New Roman"/>
                        <a:cs typeface="Times New Roman"/>
                      </a:rPr>
                      <m:t>=</m:t>
                    </m:r>
                    <m:d>
                      <m:dPr>
                        <m:begChr m:val="{"/>
                        <m:endChr m:val=""/>
                        <m:ctrlPr>
                          <a:rPr lang="es-ES" sz="14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Times New Roman"/>
                          </a:rPr>
                        </m:ctrlPr>
                      </m:dPr>
                      <m:e>
                        <m:eqArr>
                          <m:eqArrPr>
                            <m:ctrlPr>
                              <a:rPr lang="es-ES" sz="14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Times New Roman"/>
                              </a:rPr>
                            </m:ctrlPr>
                          </m:eqArrPr>
                          <m:e>
                            <m:sSub>
                              <m:sSubPr>
                                <m:ctrlPr>
                                  <a:rPr lang="es-ES" sz="14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</a:rPr>
                                </m:ctrlPr>
                              </m:sSubPr>
                              <m:e>
                                <m:r>
                                  <a:rPr lang="es-ES" sz="14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/>
                                    <a:ea typeface="Times New Roman"/>
                                    <a:cs typeface="Times New Roman"/>
                                  </a:rPr>
                                  <m:t>𝐾</m:t>
                                </m:r>
                              </m:e>
                              <m:sub>
                                <m:r>
                                  <a:rPr lang="es-ES" sz="14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/>
                                    <a:ea typeface="Times New Roman"/>
                                    <a:cs typeface="Times New Roman"/>
                                  </a:rPr>
                                  <m:t>𝑖𝑗𝑘</m:t>
                                </m:r>
                              </m:sub>
                            </m:sSub>
                            <m:r>
                              <a:rPr lang="es-ES" sz="140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Times New Roman"/>
                                <a:cs typeface="Times New Roman"/>
                              </a:rPr>
                              <m:t>−</m:t>
                            </m:r>
                            <m:sSubSup>
                              <m:sSubSupPr>
                                <m:ctrlPr>
                                  <a:rPr lang="es-ES" sz="14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</a:rPr>
                                </m:ctrlPr>
                              </m:sSubSupPr>
                              <m:e>
                                <m:r>
                                  <a:rPr lang="en-GB" sz="14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/>
                                    <a:ea typeface="Times New Roman"/>
                                    <a:cs typeface="Times New Roman"/>
                                  </a:rPr>
                                  <m:t>𝐺</m:t>
                                </m:r>
                              </m:e>
                              <m:sub>
                                <m:r>
                                  <a:rPr lang="en-GB" sz="14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/>
                                    <a:ea typeface="Times New Roman"/>
                                    <a:cs typeface="Times New Roman"/>
                                  </a:rPr>
                                  <m:t>𝑗𝑘</m:t>
                                </m:r>
                              </m:sub>
                              <m:sup>
                                <m:r>
                                  <a:rPr lang="es-ES" sz="14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/>
                                    <a:ea typeface="Times New Roman"/>
                                    <a:cs typeface="Times New Roman"/>
                                  </a:rPr>
                                  <m:t>+</m:t>
                                </m:r>
                              </m:sup>
                            </m:sSubSup>
                            <m:r>
                              <a:rPr lang="es-ES" sz="140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Times New Roman"/>
                                <a:cs typeface="Times New Roman"/>
                              </a:rPr>
                              <m:t>, &amp;</m:t>
                            </m:r>
                            <m:sSub>
                              <m:sSubPr>
                                <m:ctrlPr>
                                  <a:rPr lang="es-ES" sz="14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</a:rPr>
                                </m:ctrlPr>
                              </m:sSubPr>
                              <m:e>
                                <m:r>
                                  <a:rPr lang="es-ES" sz="14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/>
                                    <a:ea typeface="Times New Roman"/>
                                    <a:cs typeface="Times New Roman"/>
                                  </a:rPr>
                                  <m:t>𝐾</m:t>
                                </m:r>
                              </m:e>
                              <m:sub>
                                <m:r>
                                  <a:rPr lang="es-ES" sz="14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/>
                                    <a:ea typeface="Times New Roman"/>
                                    <a:cs typeface="Times New Roman"/>
                                  </a:rPr>
                                  <m:t>𝑖𝑗𝑘</m:t>
                                </m:r>
                              </m:sub>
                            </m:sSub>
                            <m:r>
                              <a:rPr lang="es-ES" sz="140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Times New Roman"/>
                                <a:cs typeface="Times New Roman"/>
                              </a:rPr>
                              <m:t>&gt;</m:t>
                            </m:r>
                            <m:sSubSup>
                              <m:sSubSupPr>
                                <m:ctrlPr>
                                  <a:rPr lang="es-ES" sz="14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</a:rPr>
                                </m:ctrlPr>
                              </m:sSubSupPr>
                              <m:e>
                                <m:r>
                                  <a:rPr lang="en-GB" sz="14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/>
                                    <a:ea typeface="Times New Roman"/>
                                    <a:cs typeface="Times New Roman"/>
                                  </a:rPr>
                                  <m:t>𝐺</m:t>
                                </m:r>
                              </m:e>
                              <m:sub>
                                <m:r>
                                  <a:rPr lang="en-GB" sz="14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/>
                                    <a:ea typeface="Times New Roman"/>
                                    <a:cs typeface="Times New Roman"/>
                                  </a:rPr>
                                  <m:t>𝑗𝑘</m:t>
                                </m:r>
                              </m:sub>
                              <m:sup>
                                <m:r>
                                  <a:rPr lang="es-ES" sz="14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/>
                                    <a:ea typeface="Times New Roman"/>
                                    <a:cs typeface="Times New Roman"/>
                                  </a:rPr>
                                  <m:t>+</m:t>
                                </m:r>
                              </m:sup>
                            </m:sSubSup>
                          </m:e>
                          <m:e>
                            <m:r>
                              <a:rPr lang="es-ES" sz="140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Times New Roman"/>
                                <a:cs typeface="Times New Roman"/>
                              </a:rPr>
                              <m:t>0,  </m:t>
                            </m:r>
                            <m:sSub>
                              <m:sSubPr>
                                <m:ctrlPr>
                                  <a:rPr lang="es-ES" sz="14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</a:rPr>
                                </m:ctrlPr>
                              </m:sSubPr>
                              <m:e>
                                <m:r>
                                  <a:rPr lang="es-ES" sz="14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/>
                                    <a:ea typeface="Times New Roman"/>
                                    <a:cs typeface="Times New Roman"/>
                                  </a:rPr>
                                  <m:t>𝐾</m:t>
                                </m:r>
                              </m:e>
                              <m:sub>
                                <m:r>
                                  <a:rPr lang="es-ES" sz="14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/>
                                    <a:ea typeface="Times New Roman"/>
                                    <a:cs typeface="Times New Roman"/>
                                  </a:rPr>
                                  <m:t>𝑖𝑗𝑘</m:t>
                                </m:r>
                              </m:sub>
                            </m:sSub>
                            <m:r>
                              <a:rPr lang="es-ES" sz="140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Times New Roman"/>
                                <a:cs typeface="Times New Roman"/>
                              </a:rPr>
                              <m:t>≤</m:t>
                            </m:r>
                            <m:sSubSup>
                              <m:sSubSupPr>
                                <m:ctrlPr>
                                  <a:rPr lang="es-ES" sz="14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</a:rPr>
                                </m:ctrlPr>
                              </m:sSubSupPr>
                              <m:e>
                                <m:r>
                                  <a:rPr lang="en-GB" sz="14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/>
                                    <a:ea typeface="Times New Roman"/>
                                    <a:cs typeface="Times New Roman"/>
                                  </a:rPr>
                                  <m:t>𝐺</m:t>
                                </m:r>
                              </m:e>
                              <m:sub>
                                <m:r>
                                  <a:rPr lang="en-GB" sz="14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/>
                                    <a:ea typeface="Times New Roman"/>
                                    <a:cs typeface="Times New Roman"/>
                                  </a:rPr>
                                  <m:t>𝑗𝑘</m:t>
                                </m:r>
                              </m:sub>
                              <m:sup>
                                <m:r>
                                  <a:rPr lang="es-ES" sz="14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/>
                                    <a:ea typeface="Times New Roman"/>
                                    <a:cs typeface="Times New Roman"/>
                                  </a:rPr>
                                  <m:t>+</m:t>
                                </m:r>
                              </m:sup>
                            </m:sSubSup>
                          </m:e>
                        </m:eqArr>
                      </m:e>
                    </m:d>
                  </m:oMath>
                </m:oMathPara>
              </a14:m>
              <a:endParaRPr lang="es-ES" sz="1400">
                <a:solidFill>
                  <a:schemeClr val="tx1"/>
                </a:solidFill>
              </a:endParaRPr>
            </a:p>
          </xdr:txBody>
        </xdr:sp>
      </mc:Choice>
      <mc:Fallback xmlns="">
        <xdr:sp macro="" textlink="">
          <xdr:nvSpPr>
            <xdr:cNvPr id="8" name="4 Rectángulo">
              <a:extLst>
                <a:ext uri="{FF2B5EF4-FFF2-40B4-BE49-F238E27FC236}">
                  <a16:creationId xmlns:a16="http://schemas.microsoft.com/office/drawing/2014/main" id="{00000000-0008-0000-0200-000008000000}"/>
                </a:ext>
              </a:extLst>
            </xdr:cNvPr>
            <xdr:cNvSpPr/>
          </xdr:nvSpPr>
          <xdr:spPr>
            <a:xfrm>
              <a:off x="1626658" y="7585075"/>
              <a:ext cx="2447880" cy="617895"/>
            </a:xfrm>
            <a:prstGeom prst="rect">
              <a:avLst/>
            </a:prstGeom>
          </xdr:spPr>
          <xdr:txBody>
            <a:bodyPr wrap="square">
              <a:spAutoFit/>
            </a:bodyPr>
            <a:lstStyle>
              <a:defPPr>
                <a:defRPr lang="es-E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/>
              <a:r>
                <a:rPr lang="en-GB" sz="1400" i="0">
                  <a:solidFill>
                    <a:schemeClr val="tx1"/>
                  </a:solidFill>
                  <a:effectLst/>
                  <a:latin typeface="Cambria Math"/>
                  <a:ea typeface="Times New Roman"/>
                  <a:cs typeface="Times New Roman"/>
                </a:rPr>
                <a:t>𝑃</a:t>
              </a:r>
              <a:r>
                <a:rPr lang="es-ES" sz="14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Times New Roman"/>
                  <a:cs typeface="Times New Roman"/>
                </a:rPr>
                <a:t>_</a:t>
              </a:r>
              <a:r>
                <a:rPr lang="en-GB" sz="1400" i="0">
                  <a:solidFill>
                    <a:schemeClr val="tx1"/>
                  </a:solidFill>
                  <a:effectLst/>
                  <a:latin typeface="Cambria Math"/>
                  <a:ea typeface="Times New Roman"/>
                  <a:cs typeface="Times New Roman"/>
                </a:rPr>
                <a:t>𝑖𝑗𝑘</a:t>
              </a:r>
              <a:r>
                <a:rPr lang="en-GB" sz="14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Times New Roman"/>
                  <a:cs typeface="Times New Roman"/>
                </a:rPr>
                <a:t>^</a:t>
              </a:r>
              <a:r>
                <a:rPr lang="es-ES" sz="1400" i="0">
                  <a:solidFill>
                    <a:schemeClr val="tx1"/>
                  </a:solidFill>
                  <a:effectLst/>
                  <a:latin typeface="Cambria Math"/>
                  <a:ea typeface="Times New Roman"/>
                  <a:cs typeface="Times New Roman"/>
                </a:rPr>
                <a:t>+=</a:t>
              </a:r>
              <a:r>
                <a:rPr lang="es-ES" sz="14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</a:rPr>
                <a:t>{█(</a:t>
              </a:r>
              <a:r>
                <a:rPr lang="es-ES" sz="1400" i="0">
                  <a:solidFill>
                    <a:schemeClr val="tx1"/>
                  </a:solidFill>
                  <a:effectLst/>
                  <a:latin typeface="Cambria Math"/>
                  <a:ea typeface="Times New Roman"/>
                  <a:cs typeface="Times New Roman"/>
                </a:rPr>
                <a:t>𝐾</a:t>
              </a:r>
              <a:r>
                <a:rPr lang="es-ES" sz="14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Times New Roman"/>
                  <a:cs typeface="Times New Roman"/>
                </a:rPr>
                <a:t>_</a:t>
              </a:r>
              <a:r>
                <a:rPr lang="es-ES" sz="1400" i="0">
                  <a:solidFill>
                    <a:schemeClr val="tx1"/>
                  </a:solidFill>
                  <a:effectLst/>
                  <a:latin typeface="Cambria Math"/>
                  <a:ea typeface="Times New Roman"/>
                  <a:cs typeface="Times New Roman"/>
                </a:rPr>
                <a:t>𝑖𝑗𝑘−</a:t>
              </a:r>
              <a:r>
                <a:rPr lang="en-GB" sz="1400" i="0">
                  <a:solidFill>
                    <a:schemeClr val="tx1"/>
                  </a:solidFill>
                  <a:effectLst/>
                  <a:latin typeface="Cambria Math"/>
                  <a:ea typeface="Times New Roman"/>
                  <a:cs typeface="Times New Roman"/>
                </a:rPr>
                <a:t>𝐺</a:t>
              </a:r>
              <a:r>
                <a:rPr lang="es-ES" sz="14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Times New Roman"/>
                  <a:cs typeface="Times New Roman"/>
                </a:rPr>
                <a:t>_</a:t>
              </a:r>
              <a:r>
                <a:rPr lang="en-GB" sz="1400" i="0">
                  <a:solidFill>
                    <a:schemeClr val="tx1"/>
                  </a:solidFill>
                  <a:effectLst/>
                  <a:latin typeface="Cambria Math"/>
                  <a:ea typeface="Times New Roman"/>
                  <a:cs typeface="Times New Roman"/>
                </a:rPr>
                <a:t>𝑗𝑘</a:t>
              </a:r>
              <a:r>
                <a:rPr lang="en-GB" sz="14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Times New Roman"/>
                  <a:cs typeface="Times New Roman"/>
                </a:rPr>
                <a:t>^</a:t>
              </a:r>
              <a:r>
                <a:rPr lang="es-ES" sz="1400" i="0">
                  <a:solidFill>
                    <a:schemeClr val="tx1"/>
                  </a:solidFill>
                  <a:effectLst/>
                  <a:latin typeface="Cambria Math"/>
                  <a:ea typeface="Times New Roman"/>
                  <a:cs typeface="Times New Roman"/>
                </a:rPr>
                <a:t>+, &amp;𝐾</a:t>
              </a:r>
              <a:r>
                <a:rPr lang="es-ES" sz="14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Times New Roman"/>
                  <a:cs typeface="Times New Roman"/>
                </a:rPr>
                <a:t>_</a:t>
              </a:r>
              <a:r>
                <a:rPr lang="es-ES" sz="1400" i="0">
                  <a:solidFill>
                    <a:schemeClr val="tx1"/>
                  </a:solidFill>
                  <a:effectLst/>
                  <a:latin typeface="Cambria Math"/>
                  <a:ea typeface="Times New Roman"/>
                  <a:cs typeface="Times New Roman"/>
                </a:rPr>
                <a:t>𝑖𝑗𝑘&gt;</a:t>
              </a:r>
              <a:r>
                <a:rPr lang="en-GB" sz="1400" i="0">
                  <a:solidFill>
                    <a:schemeClr val="tx1"/>
                  </a:solidFill>
                  <a:effectLst/>
                  <a:latin typeface="Cambria Math"/>
                  <a:ea typeface="Times New Roman"/>
                  <a:cs typeface="Times New Roman"/>
                </a:rPr>
                <a:t>𝐺</a:t>
              </a:r>
              <a:r>
                <a:rPr lang="es-ES" sz="14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Times New Roman"/>
                  <a:cs typeface="Times New Roman"/>
                </a:rPr>
                <a:t>_</a:t>
              </a:r>
              <a:r>
                <a:rPr lang="en-GB" sz="1400" i="0">
                  <a:solidFill>
                    <a:schemeClr val="tx1"/>
                  </a:solidFill>
                  <a:effectLst/>
                  <a:latin typeface="Cambria Math"/>
                  <a:ea typeface="Times New Roman"/>
                  <a:cs typeface="Times New Roman"/>
                </a:rPr>
                <a:t>𝑗𝑘</a:t>
              </a:r>
              <a:r>
                <a:rPr lang="en-GB" sz="14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Times New Roman"/>
                  <a:cs typeface="Times New Roman"/>
                </a:rPr>
                <a:t>^</a:t>
              </a:r>
              <a:r>
                <a:rPr lang="es-ES" sz="1400" i="0">
                  <a:solidFill>
                    <a:schemeClr val="tx1"/>
                  </a:solidFill>
                  <a:effectLst/>
                  <a:latin typeface="Cambria Math"/>
                  <a:ea typeface="Times New Roman"/>
                  <a:cs typeface="Times New Roman"/>
                </a:rPr>
                <a:t>+</a:t>
              </a:r>
              <a:r>
                <a:rPr lang="es-ES" sz="14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Times New Roman"/>
                  <a:cs typeface="Times New Roman"/>
                </a:rPr>
                <a:t>@</a:t>
              </a:r>
              <a:r>
                <a:rPr lang="es-ES" sz="1400" i="0">
                  <a:solidFill>
                    <a:schemeClr val="tx1"/>
                  </a:solidFill>
                  <a:effectLst/>
                  <a:latin typeface="Cambria Math"/>
                  <a:ea typeface="Times New Roman"/>
                  <a:cs typeface="Times New Roman"/>
                </a:rPr>
                <a:t>0,  𝐾</a:t>
              </a:r>
              <a:r>
                <a:rPr lang="es-ES" sz="14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Times New Roman"/>
                  <a:cs typeface="Times New Roman"/>
                </a:rPr>
                <a:t>_</a:t>
              </a:r>
              <a:r>
                <a:rPr lang="es-ES" sz="1400" i="0">
                  <a:solidFill>
                    <a:schemeClr val="tx1"/>
                  </a:solidFill>
                  <a:effectLst/>
                  <a:latin typeface="Cambria Math"/>
                  <a:ea typeface="Times New Roman"/>
                  <a:cs typeface="Times New Roman"/>
                </a:rPr>
                <a:t>𝑖𝑗𝑘≤</a:t>
              </a:r>
              <a:r>
                <a:rPr lang="en-GB" sz="1400" i="0">
                  <a:solidFill>
                    <a:schemeClr val="tx1"/>
                  </a:solidFill>
                  <a:effectLst/>
                  <a:latin typeface="Cambria Math"/>
                  <a:ea typeface="Times New Roman"/>
                  <a:cs typeface="Times New Roman"/>
                </a:rPr>
                <a:t>𝐺</a:t>
              </a:r>
              <a:r>
                <a:rPr lang="es-ES" sz="14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Times New Roman"/>
                  <a:cs typeface="Times New Roman"/>
                </a:rPr>
                <a:t>_</a:t>
              </a:r>
              <a:r>
                <a:rPr lang="en-GB" sz="1400" i="0">
                  <a:solidFill>
                    <a:schemeClr val="tx1"/>
                  </a:solidFill>
                  <a:effectLst/>
                  <a:latin typeface="Cambria Math"/>
                  <a:ea typeface="Times New Roman"/>
                  <a:cs typeface="Times New Roman"/>
                </a:rPr>
                <a:t>𝑗𝑘</a:t>
              </a:r>
              <a:r>
                <a:rPr lang="en-GB" sz="14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Times New Roman"/>
                  <a:cs typeface="Times New Roman"/>
                </a:rPr>
                <a:t>^</a:t>
              </a:r>
              <a:r>
                <a:rPr lang="es-ES" sz="1400" i="0">
                  <a:solidFill>
                    <a:schemeClr val="tx1"/>
                  </a:solidFill>
                  <a:effectLst/>
                  <a:latin typeface="Cambria Math"/>
                  <a:ea typeface="Times New Roman"/>
                  <a:cs typeface="Times New Roman"/>
                </a:rPr>
                <a:t>+</a:t>
              </a:r>
              <a:r>
                <a:rPr lang="es-ES" sz="14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Times New Roman"/>
                  <a:cs typeface="Times New Roman"/>
                </a:rPr>
                <a:t> )┤</a:t>
              </a:r>
              <a:endParaRPr lang="es-ES" sz="1400">
                <a:solidFill>
                  <a:schemeClr val="tx1"/>
                </a:solidFill>
              </a:endParaRPr>
            </a:p>
          </xdr:txBody>
        </xdr:sp>
      </mc:Fallback>
    </mc:AlternateContent>
    <xdr:clientData/>
  </xdr:twoCellAnchor>
  <xdr:twoCellAnchor>
    <xdr:from>
      <xdr:col>10</xdr:col>
      <xdr:colOff>1162050</xdr:colOff>
      <xdr:row>33</xdr:row>
      <xdr:rowOff>9525</xdr:rowOff>
    </xdr:from>
    <xdr:to>
      <xdr:col>13</xdr:col>
      <xdr:colOff>412222</xdr:colOff>
      <xdr:row>35</xdr:row>
      <xdr:rowOff>182389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0" name="9 Rectángulo">
              <a:extLst>
                <a:ext uri="{FF2B5EF4-FFF2-40B4-BE49-F238E27FC236}">
                  <a16:creationId xmlns:a16="http://schemas.microsoft.com/office/drawing/2014/main" xmlns="" id="{00000000-0008-0000-0100-00000A000000}"/>
                </a:ext>
              </a:extLst>
            </xdr:cNvPr>
            <xdr:cNvSpPr/>
          </xdr:nvSpPr>
          <xdr:spPr>
            <a:xfrm>
              <a:off x="10267950" y="4629150"/>
              <a:ext cx="2460097" cy="572914"/>
            </a:xfrm>
            <a:prstGeom prst="rect">
              <a:avLst/>
            </a:prstGeom>
          </xdr:spPr>
          <xdr:txBody>
            <a:bodyPr wrap="square">
              <a:spAutoFit/>
            </a:bodyPr>
            <a:lstStyle>
              <a:defPPr>
                <a:defRPr lang="es-E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s-ES" sz="1400">
                  <a:solidFill>
                    <a:schemeClr val="tx1"/>
                  </a:solidFill>
                  <a:latin typeface="Times New Roman"/>
                  <a:ea typeface="Times New Roman"/>
                </a:rPr>
                <a:t> </a:t>
              </a:r>
              <a14:m>
                <m:oMath xmlns:m="http://schemas.openxmlformats.org/officeDocument/2006/math">
                  <m:sSubSup>
                    <m:sSubSupPr>
                      <m:ctrlPr>
                        <a:rPr lang="es-ES" sz="140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</a:rPr>
                      </m:ctrlPr>
                    </m:sSubSupPr>
                    <m:e>
                      <m:r>
                        <a:rPr lang="en-GB" sz="140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Times New Roman"/>
                          <a:cs typeface="Times New Roman"/>
                        </a:rPr>
                        <m:t>𝑃</m:t>
                      </m:r>
                    </m:e>
                    <m:sub>
                      <m:r>
                        <a:rPr lang="en-GB" sz="140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Times New Roman"/>
                          <a:cs typeface="Times New Roman"/>
                        </a:rPr>
                        <m:t>𝑖𝑗𝑘</m:t>
                      </m:r>
                    </m:sub>
                    <m:sup>
                      <m:r>
                        <a:rPr lang="es-ES" sz="140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Times New Roman"/>
                          <a:cs typeface="Times New Roman"/>
                        </a:rPr>
                        <m:t>−</m:t>
                      </m:r>
                    </m:sup>
                  </m:sSubSup>
                  <m:r>
                    <a:rPr lang="es-ES" sz="1400" i="1">
                      <a:solidFill>
                        <a:schemeClr val="tx1"/>
                      </a:solidFill>
                      <a:effectLst/>
                      <a:latin typeface="Cambria Math"/>
                      <a:ea typeface="Times New Roman"/>
                      <a:cs typeface="Times New Roman"/>
                    </a:rPr>
                    <m:t>=</m:t>
                  </m:r>
                  <m:d>
                    <m:dPr>
                      <m:begChr m:val="{"/>
                      <m:endChr m:val=""/>
                      <m:ctrlPr>
                        <a:rPr lang="es-ES" sz="140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Times New Roman"/>
                        </a:rPr>
                      </m:ctrlPr>
                    </m:dPr>
                    <m:e>
                      <m:eqArr>
                        <m:eqArrPr>
                          <m:ctrlP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Times New Roman"/>
                            </a:rPr>
                          </m:ctrlPr>
                        </m:eqArrPr>
                        <m:e>
                          <m:sSub>
                            <m:sSubPr>
                              <m:ctrlPr>
                                <a:rPr lang="es-ES" sz="140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</a:rPr>
                              </m:ctrlPr>
                            </m:sSubPr>
                            <m:e>
                              <m:r>
                                <a:rPr lang="es-ES" sz="140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/>
                                  <a:ea typeface="Times New Roman"/>
                                  <a:cs typeface="Times New Roman"/>
                                </a:rPr>
                                <m:t>𝐾</m:t>
                              </m:r>
                            </m:e>
                            <m:sub>
                              <m:r>
                                <a:rPr lang="es-ES" sz="140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/>
                                  <a:ea typeface="Times New Roman"/>
                                  <a:cs typeface="Times New Roman"/>
                                </a:rPr>
                                <m:t>𝑖𝑗𝑘</m:t>
                              </m:r>
                            </m:sub>
                          </m:sSub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Times New Roman"/>
                              <a:cs typeface="Times New Roman"/>
                            </a:rPr>
                            <m:t>−</m:t>
                          </m:r>
                          <m:sSubSup>
                            <m:sSubSupPr>
                              <m:ctrlPr>
                                <a:rPr lang="es-ES" sz="140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</a:rPr>
                              </m:ctrlPr>
                            </m:sSubSupPr>
                            <m:e>
                              <m:r>
                                <a:rPr lang="en-GB" sz="140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/>
                                  <a:ea typeface="Times New Roman"/>
                                  <a:cs typeface="Times New Roman"/>
                                </a:rPr>
                                <m:t>𝐺</m:t>
                              </m:r>
                            </m:e>
                            <m:sub>
                              <m:r>
                                <a:rPr lang="en-GB" sz="140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/>
                                  <a:ea typeface="Times New Roman"/>
                                  <a:cs typeface="Times New Roman"/>
                                </a:rPr>
                                <m:t>𝑗𝑘</m:t>
                              </m:r>
                            </m:sub>
                            <m:sup>
                              <m:r>
                                <a:rPr lang="es-ES" sz="140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/>
                                  <a:ea typeface="Times New Roman"/>
                                  <a:cs typeface="Times New Roman"/>
                                </a:rPr>
                                <m:t>−</m:t>
                              </m:r>
                            </m:sup>
                          </m:sSubSup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Times New Roman"/>
                              <a:cs typeface="Times New Roman"/>
                            </a:rPr>
                            <m:t>, &amp;</m:t>
                          </m:r>
                          <m:sSub>
                            <m:sSubPr>
                              <m:ctrlPr>
                                <a:rPr lang="es-ES" sz="140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</a:rPr>
                              </m:ctrlPr>
                            </m:sSubPr>
                            <m:e>
                              <m:r>
                                <a:rPr lang="es-ES" sz="140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/>
                                  <a:ea typeface="Times New Roman"/>
                                  <a:cs typeface="Times New Roman"/>
                                </a:rPr>
                                <m:t>𝐾</m:t>
                              </m:r>
                            </m:e>
                            <m:sub>
                              <m:r>
                                <a:rPr lang="es-ES" sz="140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/>
                                  <a:ea typeface="Times New Roman"/>
                                  <a:cs typeface="Times New Roman"/>
                                </a:rPr>
                                <m:t>𝑖𝑗𝑘</m:t>
                              </m:r>
                            </m:sub>
                          </m:sSub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Times New Roman"/>
                              <a:cs typeface="Times New Roman"/>
                            </a:rPr>
                            <m:t>&gt;</m:t>
                          </m:r>
                          <m:sSubSup>
                            <m:sSubSupPr>
                              <m:ctrlPr>
                                <a:rPr lang="es-ES" sz="140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</a:rPr>
                              </m:ctrlPr>
                            </m:sSubSupPr>
                            <m:e>
                              <m:r>
                                <a:rPr lang="en-GB" sz="140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/>
                                  <a:ea typeface="Times New Roman"/>
                                  <a:cs typeface="Times New Roman"/>
                                </a:rPr>
                                <m:t>𝐺</m:t>
                              </m:r>
                            </m:e>
                            <m:sub>
                              <m:r>
                                <a:rPr lang="en-GB" sz="140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/>
                                  <a:ea typeface="Times New Roman"/>
                                  <a:cs typeface="Times New Roman"/>
                                </a:rPr>
                                <m:t>𝑗𝑘</m:t>
                              </m:r>
                            </m:sub>
                            <m:sup>
                              <m:r>
                                <a:rPr lang="es-ES" sz="140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/>
                                  <a:ea typeface="Times New Roman"/>
                                  <a:cs typeface="Times New Roman"/>
                                </a:rPr>
                                <m:t>−</m:t>
                              </m:r>
                            </m:sup>
                          </m:sSubSup>
                        </m:e>
                        <m:e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Times New Roman"/>
                              <a:cs typeface="Times New Roman"/>
                            </a:rPr>
                            <m:t>0,  </m:t>
                          </m:r>
                          <m:sSub>
                            <m:sSubPr>
                              <m:ctrlPr>
                                <a:rPr lang="es-ES" sz="140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</a:rPr>
                              </m:ctrlPr>
                            </m:sSubPr>
                            <m:e>
                              <m:r>
                                <a:rPr lang="es-ES" sz="140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/>
                                  <a:ea typeface="Times New Roman"/>
                                  <a:cs typeface="Times New Roman"/>
                                </a:rPr>
                                <m:t>𝐾</m:t>
                              </m:r>
                            </m:e>
                            <m:sub>
                              <m:r>
                                <a:rPr lang="es-ES" sz="140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/>
                                  <a:ea typeface="Times New Roman"/>
                                  <a:cs typeface="Times New Roman"/>
                                </a:rPr>
                                <m:t>𝑖𝑗𝑘</m:t>
                              </m:r>
                            </m:sub>
                          </m:sSub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Times New Roman"/>
                              <a:cs typeface="Times New Roman"/>
                            </a:rPr>
                            <m:t>≤</m:t>
                          </m:r>
                          <m:sSubSup>
                            <m:sSubSupPr>
                              <m:ctrlPr>
                                <a:rPr lang="es-ES" sz="140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</a:rPr>
                              </m:ctrlPr>
                            </m:sSubSupPr>
                            <m:e>
                              <m:r>
                                <a:rPr lang="en-GB" sz="140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/>
                                  <a:ea typeface="Times New Roman"/>
                                  <a:cs typeface="Times New Roman"/>
                                </a:rPr>
                                <m:t>𝐺</m:t>
                              </m:r>
                            </m:e>
                            <m:sub>
                              <m:r>
                                <a:rPr lang="en-GB" sz="140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/>
                                  <a:ea typeface="Times New Roman"/>
                                  <a:cs typeface="Times New Roman"/>
                                </a:rPr>
                                <m:t>𝑗𝑘</m:t>
                              </m:r>
                            </m:sub>
                            <m:sup>
                              <m:r>
                                <a:rPr lang="es-ES" sz="140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/>
                                  <a:ea typeface="Times New Roman"/>
                                  <a:cs typeface="Times New Roman"/>
                                </a:rPr>
                                <m:t>−</m:t>
                              </m:r>
                            </m:sup>
                          </m:sSubSup>
                        </m:e>
                      </m:eqArr>
                    </m:e>
                  </m:d>
                </m:oMath>
              </a14:m>
              <a:endParaRPr lang="es-ES" sz="1400">
                <a:solidFill>
                  <a:schemeClr val="tx1"/>
                </a:solidFill>
              </a:endParaRPr>
            </a:p>
          </xdr:txBody>
        </xdr:sp>
      </mc:Choice>
      <mc:Fallback xmlns="">
        <xdr:sp macro="" textlink="">
          <xdr:nvSpPr>
            <xdr:cNvPr id="10" name="9 Rectángulo"/>
            <xdr:cNvSpPr/>
          </xdr:nvSpPr>
          <xdr:spPr>
            <a:xfrm>
              <a:off x="10267950" y="4629150"/>
              <a:ext cx="2460097" cy="572914"/>
            </a:xfrm>
            <a:prstGeom prst="rect">
              <a:avLst/>
            </a:prstGeom>
          </xdr:spPr>
          <xdr:txBody>
            <a:bodyPr wrap="square">
              <a:spAutoFit/>
            </a:bodyPr>
            <a:lstStyle>
              <a:defPPr>
                <a:defRPr lang="es-E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s-ES" sz="1400">
                  <a:solidFill>
                    <a:schemeClr val="tx1"/>
                  </a:solidFill>
                  <a:latin typeface="Times New Roman"/>
                  <a:ea typeface="Times New Roman"/>
                </a:rPr>
                <a:t> </a:t>
              </a:r>
              <a:r>
                <a:rPr lang="en-GB" sz="1400" i="0">
                  <a:solidFill>
                    <a:schemeClr val="tx1"/>
                  </a:solidFill>
                  <a:effectLst/>
                  <a:latin typeface="Cambria Math"/>
                  <a:ea typeface="Times New Roman"/>
                  <a:cs typeface="Times New Roman"/>
                </a:rPr>
                <a:t>𝑃</a:t>
              </a:r>
              <a:r>
                <a:rPr lang="es-ES" sz="1400" i="0">
                  <a:solidFill>
                    <a:schemeClr val="tx1"/>
                  </a:solidFill>
                  <a:effectLst/>
                  <a:latin typeface="Cambria Math"/>
                  <a:ea typeface="Times New Roman"/>
                  <a:cs typeface="Times New Roman"/>
                </a:rPr>
                <a:t>_</a:t>
              </a:r>
              <a:r>
                <a:rPr lang="en-GB" sz="1400" i="0">
                  <a:solidFill>
                    <a:schemeClr val="tx1"/>
                  </a:solidFill>
                  <a:effectLst/>
                  <a:latin typeface="Cambria Math"/>
                  <a:ea typeface="Times New Roman"/>
                  <a:cs typeface="Times New Roman"/>
                </a:rPr>
                <a:t>𝑖𝑗𝑘^</a:t>
              </a:r>
              <a:r>
                <a:rPr lang="es-ES" sz="1400" i="0">
                  <a:solidFill>
                    <a:schemeClr val="tx1"/>
                  </a:solidFill>
                  <a:effectLst/>
                  <a:latin typeface="Cambria Math"/>
                  <a:ea typeface="Times New Roman"/>
                  <a:cs typeface="Times New Roman"/>
                </a:rPr>
                <a:t>−=</a:t>
              </a:r>
              <a:r>
                <a:rPr lang="es-ES" sz="1400" i="0">
                  <a:solidFill>
                    <a:schemeClr val="tx1"/>
                  </a:solidFill>
                  <a:effectLst/>
                  <a:latin typeface="Cambria Math"/>
                </a:rPr>
                <a:t>{█(</a:t>
              </a:r>
              <a:r>
                <a:rPr lang="es-ES" sz="1400" i="0">
                  <a:solidFill>
                    <a:schemeClr val="tx1"/>
                  </a:solidFill>
                  <a:effectLst/>
                  <a:latin typeface="Cambria Math"/>
                  <a:ea typeface="Times New Roman"/>
                  <a:cs typeface="Times New Roman"/>
                </a:rPr>
                <a:t>𝐾_𝑖𝑗𝑘−</a:t>
              </a:r>
              <a:r>
                <a:rPr lang="en-GB" sz="1400" i="0">
                  <a:solidFill>
                    <a:schemeClr val="tx1"/>
                  </a:solidFill>
                  <a:effectLst/>
                  <a:latin typeface="Cambria Math"/>
                  <a:ea typeface="Times New Roman"/>
                  <a:cs typeface="Times New Roman"/>
                </a:rPr>
                <a:t>𝐺</a:t>
              </a:r>
              <a:r>
                <a:rPr lang="es-ES" sz="1400" i="0">
                  <a:solidFill>
                    <a:schemeClr val="tx1"/>
                  </a:solidFill>
                  <a:effectLst/>
                  <a:latin typeface="Cambria Math"/>
                  <a:ea typeface="Times New Roman"/>
                  <a:cs typeface="Times New Roman"/>
                </a:rPr>
                <a:t>_</a:t>
              </a:r>
              <a:r>
                <a:rPr lang="en-GB" sz="1400" i="0">
                  <a:solidFill>
                    <a:schemeClr val="tx1"/>
                  </a:solidFill>
                  <a:effectLst/>
                  <a:latin typeface="Cambria Math"/>
                  <a:ea typeface="Times New Roman"/>
                  <a:cs typeface="Times New Roman"/>
                </a:rPr>
                <a:t>𝑗𝑘^</a:t>
              </a:r>
              <a:r>
                <a:rPr lang="es-ES" sz="1400" i="0">
                  <a:solidFill>
                    <a:schemeClr val="tx1"/>
                  </a:solidFill>
                  <a:effectLst/>
                  <a:latin typeface="Cambria Math"/>
                  <a:ea typeface="Times New Roman"/>
                  <a:cs typeface="Times New Roman"/>
                </a:rPr>
                <a:t>−, &amp;𝐾_𝑖𝑗𝑘&gt;</a:t>
              </a:r>
              <a:r>
                <a:rPr lang="en-GB" sz="1400" i="0">
                  <a:solidFill>
                    <a:schemeClr val="tx1"/>
                  </a:solidFill>
                  <a:effectLst/>
                  <a:latin typeface="Cambria Math"/>
                  <a:ea typeface="Times New Roman"/>
                  <a:cs typeface="Times New Roman"/>
                </a:rPr>
                <a:t>𝐺</a:t>
              </a:r>
              <a:r>
                <a:rPr lang="es-ES" sz="1400" i="0">
                  <a:solidFill>
                    <a:schemeClr val="tx1"/>
                  </a:solidFill>
                  <a:effectLst/>
                  <a:latin typeface="Cambria Math"/>
                  <a:ea typeface="Times New Roman"/>
                  <a:cs typeface="Times New Roman"/>
                </a:rPr>
                <a:t>_</a:t>
              </a:r>
              <a:r>
                <a:rPr lang="en-GB" sz="1400" i="0">
                  <a:solidFill>
                    <a:schemeClr val="tx1"/>
                  </a:solidFill>
                  <a:effectLst/>
                  <a:latin typeface="Cambria Math"/>
                  <a:ea typeface="Times New Roman"/>
                  <a:cs typeface="Times New Roman"/>
                </a:rPr>
                <a:t>𝑗𝑘^</a:t>
              </a:r>
              <a:r>
                <a:rPr lang="es-ES" sz="1400" i="0">
                  <a:solidFill>
                    <a:schemeClr val="tx1"/>
                  </a:solidFill>
                  <a:effectLst/>
                  <a:latin typeface="Cambria Math"/>
                  <a:ea typeface="Times New Roman"/>
                  <a:cs typeface="Times New Roman"/>
                </a:rPr>
                <a:t>−@0,  𝐾_𝑖𝑗𝑘≤</a:t>
              </a:r>
              <a:r>
                <a:rPr lang="en-GB" sz="1400" i="0">
                  <a:solidFill>
                    <a:schemeClr val="tx1"/>
                  </a:solidFill>
                  <a:effectLst/>
                  <a:latin typeface="Cambria Math"/>
                  <a:ea typeface="Times New Roman"/>
                  <a:cs typeface="Times New Roman"/>
                </a:rPr>
                <a:t>𝐺</a:t>
              </a:r>
              <a:r>
                <a:rPr lang="es-ES" sz="1400" i="0">
                  <a:solidFill>
                    <a:schemeClr val="tx1"/>
                  </a:solidFill>
                  <a:effectLst/>
                  <a:latin typeface="Cambria Math"/>
                  <a:ea typeface="Times New Roman"/>
                  <a:cs typeface="Times New Roman"/>
                </a:rPr>
                <a:t>_</a:t>
              </a:r>
              <a:r>
                <a:rPr lang="en-GB" sz="1400" i="0">
                  <a:solidFill>
                    <a:schemeClr val="tx1"/>
                  </a:solidFill>
                  <a:effectLst/>
                  <a:latin typeface="Cambria Math"/>
                  <a:ea typeface="Times New Roman"/>
                  <a:cs typeface="Times New Roman"/>
                </a:rPr>
                <a:t>𝑗𝑘^</a:t>
              </a:r>
              <a:r>
                <a:rPr lang="es-ES" sz="1400" i="0">
                  <a:solidFill>
                    <a:schemeClr val="tx1"/>
                  </a:solidFill>
                  <a:effectLst/>
                  <a:latin typeface="Cambria Math"/>
                  <a:ea typeface="Times New Roman"/>
                  <a:cs typeface="Times New Roman"/>
                </a:rPr>
                <a:t>− )┤</a:t>
              </a:r>
              <a:endParaRPr lang="es-ES" sz="1400">
                <a:solidFill>
                  <a:schemeClr val="tx1"/>
                </a:solidFill>
              </a:endParaRPr>
            </a:p>
          </xdr:txBody>
        </xdr:sp>
      </mc:Fallback>
    </mc:AlternateContent>
    <xdr:clientData/>
  </xdr:twoCellAnchor>
  <xdr:twoCellAnchor>
    <xdr:from>
      <xdr:col>11</xdr:col>
      <xdr:colOff>38100</xdr:colOff>
      <xdr:row>36</xdr:row>
      <xdr:rowOff>9525</xdr:rowOff>
    </xdr:from>
    <xdr:to>
      <xdr:col>13</xdr:col>
      <xdr:colOff>447542</xdr:colOff>
      <xdr:row>38</xdr:row>
      <xdr:rowOff>182389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3" name="15 Rectángulo">
              <a:extLst>
                <a:ext uri="{FF2B5EF4-FFF2-40B4-BE49-F238E27FC236}">
                  <a16:creationId xmlns:a16="http://schemas.microsoft.com/office/drawing/2014/main" xmlns="" id="{00000000-0008-0000-0100-00000D000000}"/>
                </a:ext>
              </a:extLst>
            </xdr:cNvPr>
            <xdr:cNvSpPr/>
          </xdr:nvSpPr>
          <xdr:spPr>
            <a:xfrm>
              <a:off x="10334625" y="5229225"/>
              <a:ext cx="2428742" cy="572914"/>
            </a:xfrm>
            <a:prstGeom prst="rect">
              <a:avLst/>
            </a:prstGeom>
          </xdr:spPr>
          <xdr:txBody>
            <a:bodyPr wrap="square">
              <a:spAutoFit/>
            </a:bodyPr>
            <a:lstStyle>
              <a:defPPr>
                <a:defRPr lang="es-E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es-ES" sz="1400" i="1">
                            <a:latin typeface="Cambria Math" panose="02040503050406030204" pitchFamily="18" charset="0"/>
                          </a:rPr>
                        </m:ctrlPr>
                      </m:sSubSupPr>
                      <m:e>
                        <m:r>
                          <a:rPr lang="en-GB" sz="1400" i="1">
                            <a:latin typeface="Cambria Math"/>
                          </a:rPr>
                          <m:t>𝑁</m:t>
                        </m:r>
                      </m:e>
                      <m:sub>
                        <m:r>
                          <a:rPr lang="en-GB" sz="1400" i="1">
                            <a:latin typeface="Cambria Math"/>
                          </a:rPr>
                          <m:t>𝑖𝑗𝑘</m:t>
                        </m:r>
                      </m:sub>
                      <m:sup>
                        <m:r>
                          <a:rPr lang="es-ES" sz="1400" i="1">
                            <a:latin typeface="Cambria Math"/>
                          </a:rPr>
                          <m:t>−</m:t>
                        </m:r>
                      </m:sup>
                    </m:sSubSup>
                    <m:r>
                      <a:rPr lang="es-ES" sz="1400" i="1">
                        <a:latin typeface="Cambria Math"/>
                      </a:rPr>
                      <m:t>=</m:t>
                    </m:r>
                    <m:d>
                      <m:dPr>
                        <m:begChr m:val="{"/>
                        <m:endChr m:val=""/>
                        <m:ctrlPr>
                          <a:rPr lang="es-ES" sz="140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eqArr>
                          <m:eqArrPr>
                            <m:ctrlPr>
                              <a:rPr lang="es-ES" sz="140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sSubSup>
                              <m:sSubSupPr>
                                <m:ctrlPr>
                                  <a:rPr lang="es-ES" sz="1400" i="1">
                                    <a:latin typeface="Cambria Math" panose="02040503050406030204" pitchFamily="18" charset="0"/>
                                  </a:rPr>
                                </m:ctrlPr>
                              </m:sSubSupPr>
                              <m:e>
                                <m:r>
                                  <a:rPr lang="en-GB" sz="1400" i="1">
                                    <a:latin typeface="Cambria Math"/>
                                  </a:rPr>
                                  <m:t>𝐺</m:t>
                                </m:r>
                              </m:e>
                              <m:sub>
                                <m:r>
                                  <a:rPr lang="en-GB" sz="1400" i="1">
                                    <a:latin typeface="Cambria Math"/>
                                  </a:rPr>
                                  <m:t>𝑗𝑘</m:t>
                                </m:r>
                              </m:sub>
                              <m:sup>
                                <m:r>
                                  <a:rPr lang="es-ES" sz="1400" i="1">
                                    <a:latin typeface="Cambria Math"/>
                                  </a:rPr>
                                  <m:t>−</m:t>
                                </m:r>
                              </m:sup>
                            </m:sSubSup>
                            <m:r>
                              <a:rPr lang="es-ES" sz="1400" i="1">
                                <a:latin typeface="Cambria Math"/>
                              </a:rPr>
                              <m:t>−</m:t>
                            </m:r>
                            <m:sSub>
                              <m:sSubPr>
                                <m:ctrlPr>
                                  <a:rPr lang="es-ES" sz="1400" i="1">
                                    <a:latin typeface="Cambria Math" panose="02040503050406030204" pitchFamily="18" charset="0"/>
                                  </a:rPr>
                                </m:ctrlPr>
                              </m:sSubPr>
                              <m:e>
                                <m:r>
                                  <a:rPr lang="en-GB" sz="1400" i="1">
                                    <a:latin typeface="Cambria Math"/>
                                  </a:rPr>
                                  <m:t>𝐾</m:t>
                                </m:r>
                              </m:e>
                              <m:sub>
                                <m:r>
                                  <a:rPr lang="en-GB" sz="1400" i="1">
                                    <a:latin typeface="Cambria Math"/>
                                  </a:rPr>
                                  <m:t>𝑖𝑗𝑘</m:t>
                                </m:r>
                              </m:sub>
                            </m:sSub>
                            <m:r>
                              <a:rPr lang="es-ES" sz="1400" i="1">
                                <a:latin typeface="Cambria Math"/>
                              </a:rPr>
                              <m:t>, </m:t>
                            </m:r>
                            <m:sSub>
                              <m:sSubPr>
                                <m:ctrlPr>
                                  <a:rPr lang="es-ES" sz="1400" i="1">
                                    <a:latin typeface="Cambria Math" panose="02040503050406030204" pitchFamily="18" charset="0"/>
                                  </a:rPr>
                                </m:ctrlPr>
                              </m:sSubPr>
                              <m:e>
                                <m:r>
                                  <a:rPr lang="en-GB" sz="1400" i="1">
                                    <a:latin typeface="Cambria Math"/>
                                  </a:rPr>
                                  <m:t>𝐾</m:t>
                                </m:r>
                              </m:e>
                              <m:sub>
                                <m:r>
                                  <a:rPr lang="en-GB" sz="1400" i="1">
                                    <a:latin typeface="Cambria Math"/>
                                  </a:rPr>
                                  <m:t>𝑖𝑗𝑘</m:t>
                                </m:r>
                              </m:sub>
                            </m:sSub>
                            <m:r>
                              <a:rPr lang="es-ES" sz="1400" i="1">
                                <a:latin typeface="Cambria Math"/>
                              </a:rPr>
                              <m:t>&lt;</m:t>
                            </m:r>
                            <m:sSubSup>
                              <m:sSubSupPr>
                                <m:ctrlPr>
                                  <a:rPr lang="es-ES" sz="1400" i="1">
                                    <a:latin typeface="Cambria Math" panose="02040503050406030204" pitchFamily="18" charset="0"/>
                                  </a:rPr>
                                </m:ctrlPr>
                              </m:sSubSupPr>
                              <m:e>
                                <m:r>
                                  <a:rPr lang="en-GB" sz="1400" i="1">
                                    <a:latin typeface="Cambria Math"/>
                                  </a:rPr>
                                  <m:t>𝐺</m:t>
                                </m:r>
                              </m:e>
                              <m:sub>
                                <m:r>
                                  <a:rPr lang="en-GB" sz="1400" i="1">
                                    <a:latin typeface="Cambria Math"/>
                                  </a:rPr>
                                  <m:t>𝑗𝑘</m:t>
                                </m:r>
                              </m:sub>
                              <m:sup>
                                <m:r>
                                  <a:rPr lang="es-ES" sz="1400" i="1">
                                    <a:latin typeface="Cambria Math"/>
                                  </a:rPr>
                                  <m:t>−</m:t>
                                </m:r>
                              </m:sup>
                            </m:sSubSup>
                          </m:e>
                          <m:e>
                            <m:r>
                              <a:rPr lang="es-ES" sz="1400" i="1">
                                <a:latin typeface="Cambria Math"/>
                              </a:rPr>
                              <m:t>0,  </m:t>
                            </m:r>
                            <m:sSub>
                              <m:sSubPr>
                                <m:ctrlPr>
                                  <a:rPr lang="es-ES" sz="1400" i="1">
                                    <a:latin typeface="Cambria Math" panose="02040503050406030204" pitchFamily="18" charset="0"/>
                                  </a:rPr>
                                </m:ctrlPr>
                              </m:sSubPr>
                              <m:e>
                                <m:r>
                                  <a:rPr lang="en-GB" sz="1400" i="1">
                                    <a:latin typeface="Cambria Math"/>
                                  </a:rPr>
                                  <m:t>𝐾</m:t>
                                </m:r>
                              </m:e>
                              <m:sub>
                                <m:r>
                                  <a:rPr lang="en-GB" sz="1400" i="1">
                                    <a:latin typeface="Cambria Math"/>
                                  </a:rPr>
                                  <m:t>𝑖𝑗𝑘</m:t>
                                </m:r>
                              </m:sub>
                            </m:sSub>
                            <m:r>
                              <a:rPr lang="es-ES" sz="1400" i="1">
                                <a:latin typeface="Cambria Math"/>
                              </a:rPr>
                              <m:t>≥</m:t>
                            </m:r>
                            <m:sSubSup>
                              <m:sSubSupPr>
                                <m:ctrlPr>
                                  <a:rPr lang="es-ES" sz="1400" i="1">
                                    <a:latin typeface="Cambria Math" panose="02040503050406030204" pitchFamily="18" charset="0"/>
                                  </a:rPr>
                                </m:ctrlPr>
                              </m:sSubSupPr>
                              <m:e>
                                <m:r>
                                  <a:rPr lang="en-GB" sz="1400" i="1">
                                    <a:latin typeface="Cambria Math"/>
                                  </a:rPr>
                                  <m:t>𝐺</m:t>
                                </m:r>
                              </m:e>
                              <m:sub>
                                <m:r>
                                  <a:rPr lang="en-GB" sz="1400" i="1">
                                    <a:latin typeface="Cambria Math"/>
                                  </a:rPr>
                                  <m:t>𝑗𝑘</m:t>
                                </m:r>
                              </m:sub>
                              <m:sup>
                                <m:r>
                                  <a:rPr lang="es-ES" sz="1400" i="1">
                                    <a:latin typeface="Cambria Math"/>
                                  </a:rPr>
                                  <m:t>−</m:t>
                                </m:r>
                              </m:sup>
                            </m:sSubSup>
                          </m:e>
                        </m:eqArr>
                      </m:e>
                    </m:d>
                  </m:oMath>
                </m:oMathPara>
              </a14:m>
              <a:endParaRPr lang="es-ES" sz="1400"/>
            </a:p>
          </xdr:txBody>
        </xdr:sp>
      </mc:Choice>
      <mc:Fallback xmlns="">
        <xdr:sp macro="" textlink="">
          <xdr:nvSpPr>
            <xdr:cNvPr id="13" name="15 Rectángulo"/>
            <xdr:cNvSpPr/>
          </xdr:nvSpPr>
          <xdr:spPr>
            <a:xfrm>
              <a:off x="10334625" y="5229225"/>
              <a:ext cx="2428742" cy="572914"/>
            </a:xfrm>
            <a:prstGeom prst="rect">
              <a:avLst/>
            </a:prstGeom>
          </xdr:spPr>
          <xdr:txBody>
            <a:bodyPr wrap="square">
              <a:spAutoFit/>
            </a:bodyPr>
            <a:lstStyle>
              <a:defPPr>
                <a:defRPr lang="es-E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/>
              <a:r>
                <a:rPr lang="en-GB" sz="1400" i="0">
                  <a:latin typeface="Cambria Math"/>
                </a:rPr>
                <a:t>𝑁</a:t>
              </a:r>
              <a:r>
                <a:rPr lang="es-ES" sz="1400" i="0">
                  <a:latin typeface="Cambria Math"/>
                </a:rPr>
                <a:t>_</a:t>
              </a:r>
              <a:r>
                <a:rPr lang="en-GB" sz="1400" i="0">
                  <a:latin typeface="Cambria Math"/>
                </a:rPr>
                <a:t>𝑖𝑗𝑘^</a:t>
              </a:r>
              <a:r>
                <a:rPr lang="es-ES" sz="1400" i="0">
                  <a:latin typeface="Cambria Math"/>
                </a:rPr>
                <a:t>−={█(</a:t>
              </a:r>
              <a:r>
                <a:rPr lang="en-GB" sz="1400" i="0">
                  <a:latin typeface="Cambria Math"/>
                </a:rPr>
                <a:t>𝐺</a:t>
              </a:r>
              <a:r>
                <a:rPr lang="es-ES" sz="1400" i="0">
                  <a:latin typeface="Cambria Math"/>
                </a:rPr>
                <a:t>_</a:t>
              </a:r>
              <a:r>
                <a:rPr lang="en-GB" sz="1400" i="0">
                  <a:latin typeface="Cambria Math"/>
                </a:rPr>
                <a:t>𝑗𝑘^</a:t>
              </a:r>
              <a:r>
                <a:rPr lang="es-ES" sz="1400" i="0">
                  <a:latin typeface="Cambria Math"/>
                </a:rPr>
                <a:t>−−</a:t>
              </a:r>
              <a:r>
                <a:rPr lang="en-GB" sz="1400" i="0">
                  <a:latin typeface="Cambria Math"/>
                </a:rPr>
                <a:t>𝐾</a:t>
              </a:r>
              <a:r>
                <a:rPr lang="es-ES" sz="1400" i="0">
                  <a:latin typeface="Cambria Math"/>
                </a:rPr>
                <a:t>_</a:t>
              </a:r>
              <a:r>
                <a:rPr lang="en-GB" sz="1400" i="0">
                  <a:latin typeface="Cambria Math"/>
                </a:rPr>
                <a:t>𝑖𝑗𝑘</a:t>
              </a:r>
              <a:r>
                <a:rPr lang="es-ES" sz="1400" i="0">
                  <a:latin typeface="Cambria Math"/>
                </a:rPr>
                <a:t>, </a:t>
              </a:r>
              <a:r>
                <a:rPr lang="en-GB" sz="1400" i="0">
                  <a:latin typeface="Cambria Math"/>
                </a:rPr>
                <a:t>𝐾</a:t>
              </a:r>
              <a:r>
                <a:rPr lang="es-ES" sz="1400" i="0">
                  <a:latin typeface="Cambria Math"/>
                </a:rPr>
                <a:t>_</a:t>
              </a:r>
              <a:r>
                <a:rPr lang="en-GB" sz="1400" i="0">
                  <a:latin typeface="Cambria Math"/>
                </a:rPr>
                <a:t>𝑖𝑗𝑘</a:t>
              </a:r>
              <a:r>
                <a:rPr lang="es-ES" sz="1400" i="0">
                  <a:latin typeface="Cambria Math"/>
                </a:rPr>
                <a:t>&lt;</a:t>
              </a:r>
              <a:r>
                <a:rPr lang="en-GB" sz="1400" i="0">
                  <a:latin typeface="Cambria Math"/>
                </a:rPr>
                <a:t>𝐺</a:t>
              </a:r>
              <a:r>
                <a:rPr lang="es-ES" sz="1400" i="0">
                  <a:latin typeface="Cambria Math"/>
                </a:rPr>
                <a:t>_</a:t>
              </a:r>
              <a:r>
                <a:rPr lang="en-GB" sz="1400" i="0">
                  <a:latin typeface="Cambria Math"/>
                </a:rPr>
                <a:t>𝑗𝑘^</a:t>
              </a:r>
              <a:r>
                <a:rPr lang="es-ES" sz="1400" i="0">
                  <a:latin typeface="Cambria Math"/>
                </a:rPr>
                <a:t>−@0,  </a:t>
              </a:r>
              <a:r>
                <a:rPr lang="en-GB" sz="1400" i="0">
                  <a:latin typeface="Cambria Math"/>
                </a:rPr>
                <a:t>𝐾</a:t>
              </a:r>
              <a:r>
                <a:rPr lang="es-ES" sz="1400" i="0">
                  <a:latin typeface="Cambria Math"/>
                </a:rPr>
                <a:t>_</a:t>
              </a:r>
              <a:r>
                <a:rPr lang="en-GB" sz="1400" i="0">
                  <a:latin typeface="Cambria Math"/>
                </a:rPr>
                <a:t>𝑖𝑗𝑘</a:t>
              </a:r>
              <a:r>
                <a:rPr lang="es-ES" sz="1400" i="0">
                  <a:latin typeface="Cambria Math"/>
                </a:rPr>
                <a:t>≥</a:t>
              </a:r>
              <a:r>
                <a:rPr lang="en-GB" sz="1400" i="0">
                  <a:latin typeface="Cambria Math"/>
                </a:rPr>
                <a:t>𝐺</a:t>
              </a:r>
              <a:r>
                <a:rPr lang="es-ES" sz="1400" i="0">
                  <a:latin typeface="Cambria Math"/>
                </a:rPr>
                <a:t>_</a:t>
              </a:r>
              <a:r>
                <a:rPr lang="en-GB" sz="1400" i="0">
                  <a:latin typeface="Cambria Math"/>
                </a:rPr>
                <a:t>𝑗𝑘^</a:t>
              </a:r>
              <a:r>
                <a:rPr lang="es-ES" sz="1400" i="0">
                  <a:latin typeface="Cambria Math"/>
                </a:rPr>
                <a:t>− )┤</a:t>
              </a:r>
              <a:endParaRPr lang="es-ES" sz="1400"/>
            </a:p>
          </xdr:txBody>
        </xdr:sp>
      </mc:Fallback>
    </mc:AlternateContent>
    <xdr:clientData/>
  </xdr:twoCellAnchor>
  <xdr:twoCellAnchor>
    <xdr:from>
      <xdr:col>11</xdr:col>
      <xdr:colOff>0</xdr:colOff>
      <xdr:row>31</xdr:row>
      <xdr:rowOff>10584</xdr:rowOff>
    </xdr:from>
    <xdr:to>
      <xdr:col>16</xdr:col>
      <xdr:colOff>148167</xdr:colOff>
      <xdr:row>32</xdr:row>
      <xdr:rowOff>183642</xdr:rowOff>
    </xdr:to>
    <xdr:sp macro="" textlink="">
      <xdr:nvSpPr>
        <xdr:cNvPr id="14" name="14 Rectángulo">
          <a:extLst>
            <a:ext uri="{FF2B5EF4-FFF2-40B4-BE49-F238E27FC236}">
              <a16:creationId xmlns:a16="http://schemas.microsoft.com/office/drawing/2014/main" xmlns="" id="{00000000-0008-0000-0100-00000E000000}"/>
            </a:ext>
          </a:extLst>
        </xdr:cNvPr>
        <xdr:cNvSpPr/>
      </xdr:nvSpPr>
      <xdr:spPr>
        <a:xfrm>
          <a:off x="11535833" y="6265334"/>
          <a:ext cx="5143501" cy="374141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1pPr>
          <a:lvl2pPr marL="4572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2pPr>
          <a:lvl3pPr marL="9144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3pPr>
          <a:lvl4pPr marL="13716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4pPr>
          <a:lvl5pPr marL="18288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5pPr>
          <a:lvl6pPr marL="22860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6pPr>
          <a:lvl7pPr marL="27432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7pPr>
          <a:lvl8pPr marL="32004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8pPr>
          <a:lvl9pPr marL="36576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9pPr>
        </a:lstStyle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800" kern="1200">
              <a:solidFill>
                <a:sysClr val="windowText" lastClr="000000"/>
              </a:solidFill>
              <a:effectLst/>
              <a:latin typeface="Calibri"/>
              <a:ea typeface="+mn-ea"/>
              <a:cs typeface="+mn-cs"/>
            </a:rPr>
            <a:t>For negative (-) indicators "the lower the better)" </a:t>
          </a:r>
          <a:r>
            <a:rPr lang="en-US" sz="1600"/>
            <a:t> (</a:t>
          </a:r>
          <a:r>
            <a:rPr lang="es-ES" sz="1600"/>
            <a:t>≤</a:t>
          </a:r>
          <a:r>
            <a:rPr lang="en-US" sz="1600"/>
            <a:t>) </a:t>
          </a:r>
          <a:r>
            <a:rPr lang="es-ES" sz="1600"/>
            <a:t> </a:t>
          </a:r>
        </a:p>
      </xdr:txBody>
    </xdr:sp>
    <xdr:clientData/>
  </xdr:twoCellAnchor>
  <xdr:twoCellAnchor>
    <xdr:from>
      <xdr:col>1</xdr:col>
      <xdr:colOff>868890</xdr:colOff>
      <xdr:row>31</xdr:row>
      <xdr:rowOff>50800</xdr:rowOff>
    </xdr:from>
    <xdr:to>
      <xdr:col>7</xdr:col>
      <xdr:colOff>105833</xdr:colOff>
      <xdr:row>33</xdr:row>
      <xdr:rowOff>22774</xdr:rowOff>
    </xdr:to>
    <xdr:sp macro="" textlink="">
      <xdr:nvSpPr>
        <xdr:cNvPr id="15" name="25 Rectángulo">
          <a:extLst>
            <a:ext uri="{FF2B5EF4-FFF2-40B4-BE49-F238E27FC236}">
              <a16:creationId xmlns:a16="http://schemas.microsoft.com/office/drawing/2014/main" xmlns="" id="{00000000-0008-0000-0100-00000F000000}"/>
            </a:ext>
          </a:extLst>
        </xdr:cNvPr>
        <xdr:cNvSpPr/>
      </xdr:nvSpPr>
      <xdr:spPr>
        <a:xfrm>
          <a:off x="1398057" y="6305550"/>
          <a:ext cx="5248276" cy="374141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800" b="0" kern="1200">
              <a:solidFill>
                <a:schemeClr val="tx1"/>
              </a:solidFill>
              <a:effectLst/>
              <a:latin typeface="Calibri" panose="020F0502020204030204" pitchFamily="34" charset="0"/>
              <a:ea typeface="+mn-ea"/>
              <a:cs typeface="Calibri" panose="020F0502020204030204" pitchFamily="34" charset="0"/>
            </a:rPr>
            <a:t>For positive (+) indicators "the greater the better"</a:t>
          </a:r>
          <a:r>
            <a:rPr lang="en-US" sz="1800" b="0">
              <a:latin typeface="Calibri" panose="020F0502020204030204" pitchFamily="34" charset="0"/>
              <a:cs typeface="Calibri" panose="020F0502020204030204" pitchFamily="34" charset="0"/>
            </a:rPr>
            <a:t> (</a:t>
          </a:r>
          <a:r>
            <a:rPr lang="es-ES" sz="1800" b="0">
              <a:latin typeface="Calibri" panose="020F0502020204030204" pitchFamily="34" charset="0"/>
              <a:cs typeface="Calibri" panose="020F0502020204030204" pitchFamily="34" charset="0"/>
            </a:rPr>
            <a:t>≥</a:t>
          </a:r>
          <a:r>
            <a:rPr lang="en-US" sz="1800" b="0">
              <a:latin typeface="Calibri" panose="020F0502020204030204" pitchFamily="34" charset="0"/>
              <a:cs typeface="Calibri" panose="020F0502020204030204" pitchFamily="34" charset="0"/>
            </a:rPr>
            <a:t>)</a:t>
          </a:r>
          <a:r>
            <a:rPr lang="es-ES" sz="1800" b="0">
              <a:latin typeface="Calibri" panose="020F0502020204030204" pitchFamily="34" charset="0"/>
              <a:cs typeface="Calibri" panose="020F0502020204030204" pitchFamily="34" charset="0"/>
            </a:rPr>
            <a:t> </a:t>
          </a:r>
        </a:p>
      </xdr:txBody>
    </xdr:sp>
    <xdr:clientData/>
  </xdr:twoCellAnchor>
  <xdr:twoCellAnchor>
    <xdr:from>
      <xdr:col>4</xdr:col>
      <xdr:colOff>762000</xdr:colOff>
      <xdr:row>33</xdr:row>
      <xdr:rowOff>28575</xdr:rowOff>
    </xdr:from>
    <xdr:to>
      <xdr:col>7</xdr:col>
      <xdr:colOff>825446</xdr:colOff>
      <xdr:row>36</xdr:row>
      <xdr:rowOff>169985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6" name="3 Rectángulo">
              <a:extLst>
                <a:ext uri="{FF2B5EF4-FFF2-40B4-BE49-F238E27FC236}">
                  <a16:creationId xmlns:a16="http://schemas.microsoft.com/office/drawing/2014/main" xmlns="" id="{00000000-0008-0000-0100-000010000000}"/>
                </a:ext>
              </a:extLst>
            </xdr:cNvPr>
            <xdr:cNvSpPr/>
          </xdr:nvSpPr>
          <xdr:spPr>
            <a:xfrm>
              <a:off x="4038600" y="4648200"/>
              <a:ext cx="2863796" cy="741485"/>
            </a:xfrm>
            <a:prstGeom prst="rect">
              <a:avLst/>
            </a:prstGeom>
          </xdr:spPr>
          <xdr:txBody>
            <a:bodyPr wrap="square">
              <a:spAutoFit/>
            </a:bodyPr>
            <a:lstStyle>
              <a:defPPr>
                <a:defRPr lang="es-E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es-ES" sz="1400" i="1">
                            <a:solidFill>
                              <a:schemeClr val="tx1"/>
                            </a:solidFill>
                            <a:latin typeface="Cambria Math" panose="02040503050406030204" pitchFamily="18" charset="0"/>
                          </a:rPr>
                        </m:ctrlPr>
                      </m:sSubSupPr>
                      <m:e>
                        <m:r>
                          <a:rPr lang="en-GB" sz="14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Times New Roman"/>
                            <a:cs typeface="Times New Roman"/>
                          </a:rPr>
                          <m:t>𝐼𝑆𝐺</m:t>
                        </m:r>
                      </m:e>
                      <m:sub>
                        <m:r>
                          <a:rPr lang="en-GB" sz="14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Times New Roman"/>
                            <a:cs typeface="Times New Roman"/>
                          </a:rPr>
                          <m:t>𝑖𝑗𝑘</m:t>
                        </m:r>
                      </m:sub>
                      <m:sup>
                        <m:r>
                          <a:rPr lang="es-ES" sz="14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Times New Roman"/>
                            <a:cs typeface="Times New Roman"/>
                          </a:rPr>
                          <m:t>+</m:t>
                        </m:r>
                      </m:sup>
                    </m:sSubSup>
                    <m:r>
                      <a:rPr lang="es-ES" sz="1400" i="1">
                        <a:solidFill>
                          <a:schemeClr val="tx1"/>
                        </a:solidFill>
                        <a:effectLst/>
                        <a:latin typeface="Cambria Math"/>
                        <a:ea typeface="Times New Roman"/>
                        <a:cs typeface="Times New Roman"/>
                      </a:rPr>
                      <m:t>=</m:t>
                    </m:r>
                    <m:nary>
                      <m:naryPr>
                        <m:chr m:val="∑"/>
                        <m:limLoc m:val="undOvr"/>
                        <m:ctrlPr>
                          <a:rPr lang="es-ES" sz="14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</a:rPr>
                        </m:ctrlPr>
                      </m:naryPr>
                      <m:sub>
                        <m:r>
                          <a:rPr lang="en-GB" sz="14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Times New Roman"/>
                            <a:cs typeface="Times New Roman"/>
                          </a:rPr>
                          <m:t>𝑖𝑗𝑘</m:t>
                        </m:r>
                      </m:sub>
                      <m:sup/>
                      <m:e>
                        <m:f>
                          <m:fPr>
                            <m:ctrlPr>
                              <a:rPr lang="es-ES" sz="14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</a:rPr>
                            </m:ctrlPr>
                          </m:fPr>
                          <m:num>
                            <m:sSubSup>
                              <m:sSubSupPr>
                                <m:ctrlPr>
                                  <a:rPr lang="es-ES" sz="14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</a:rPr>
                                </m:ctrlPr>
                              </m:sSubSupPr>
                              <m:e>
                                <m:r>
                                  <a:rPr lang="en-GB" sz="14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/>
                                    <a:ea typeface="Times New Roman"/>
                                    <a:cs typeface="Times New Roman"/>
                                  </a:rPr>
                                  <m:t>𝑁</m:t>
                                </m:r>
                              </m:e>
                              <m:sub>
                                <m:r>
                                  <a:rPr lang="en-GB" sz="14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/>
                                    <a:ea typeface="Times New Roman"/>
                                    <a:cs typeface="Times New Roman"/>
                                  </a:rPr>
                                  <m:t>𝑖𝑗𝑘</m:t>
                                </m:r>
                              </m:sub>
                              <m:sup>
                                <m:r>
                                  <a:rPr lang="es-ES" sz="14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/>
                                    <a:ea typeface="Times New Roman"/>
                                    <a:cs typeface="Times New Roman"/>
                                  </a:rPr>
                                  <m:t>+</m:t>
                                </m:r>
                              </m:sup>
                            </m:sSubSup>
                          </m:num>
                          <m:den>
                            <m:sSubSup>
                              <m:sSubSupPr>
                                <m:ctrlPr>
                                  <a:rPr lang="es-ES" sz="14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</a:rPr>
                                </m:ctrlPr>
                              </m:sSubSupPr>
                              <m:e>
                                <m:r>
                                  <a:rPr lang="en-GB" sz="14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/>
                                    <a:ea typeface="Times New Roman"/>
                                    <a:cs typeface="Times New Roman"/>
                                  </a:rPr>
                                  <m:t>𝑊</m:t>
                                </m:r>
                              </m:e>
                              <m:sub>
                                <m:r>
                                  <a:rPr lang="en-GB" sz="14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/>
                                    <a:ea typeface="Times New Roman"/>
                                    <a:cs typeface="Times New Roman"/>
                                  </a:rPr>
                                  <m:t>𝑗𝑘</m:t>
                                </m:r>
                              </m:sub>
                              <m:sup>
                                <m:r>
                                  <a:rPr lang="es-ES" sz="14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/>
                                    <a:ea typeface="Times New Roman"/>
                                    <a:cs typeface="Times New Roman"/>
                                  </a:rPr>
                                  <m:t>+</m:t>
                                </m:r>
                              </m:sup>
                            </m:sSubSup>
                            <m:r>
                              <a:rPr lang="es-ES" sz="140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Times New Roman"/>
                                <a:cs typeface="Times New Roman"/>
                              </a:rPr>
                              <m:t>.</m:t>
                            </m:r>
                            <m:sSubSup>
                              <m:sSubSupPr>
                                <m:ctrlPr>
                                  <a:rPr lang="es-ES" sz="14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</a:rPr>
                                </m:ctrlPr>
                              </m:sSubSupPr>
                              <m:e>
                                <m:r>
                                  <a:rPr lang="en-GB" sz="14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/>
                                    <a:ea typeface="Times New Roman"/>
                                    <a:cs typeface="Times New Roman"/>
                                  </a:rPr>
                                  <m:t>𝐺</m:t>
                                </m:r>
                              </m:e>
                              <m:sub>
                                <m:r>
                                  <a:rPr lang="en-GB" sz="14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/>
                                    <a:ea typeface="Times New Roman"/>
                                    <a:cs typeface="Times New Roman"/>
                                  </a:rPr>
                                  <m:t>𝑗𝑘</m:t>
                                </m:r>
                              </m:sub>
                              <m:sup>
                                <m:r>
                                  <a:rPr lang="es-ES" sz="14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/>
                                    <a:ea typeface="Times New Roman"/>
                                    <a:cs typeface="Times New Roman"/>
                                  </a:rPr>
                                  <m:t>+</m:t>
                                </m:r>
                              </m:sup>
                            </m:sSubSup>
                          </m:den>
                        </m:f>
                        <m:r>
                          <a:rPr lang="es-ES" sz="14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Times New Roman"/>
                            <a:cs typeface="Times New Roman"/>
                          </a:rPr>
                          <m:t>+</m:t>
                        </m:r>
                        <m:nary>
                          <m:naryPr>
                            <m:chr m:val="∑"/>
                            <m:limLoc m:val="undOvr"/>
                            <m:ctrlPr>
                              <a:rPr lang="es-ES" sz="14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</a:rPr>
                            </m:ctrlPr>
                          </m:naryPr>
                          <m:sub>
                            <m:r>
                              <a:rPr lang="en-GB" sz="140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Times New Roman"/>
                                <a:cs typeface="Times New Roman"/>
                              </a:rPr>
                              <m:t>𝑖𝑗𝑘</m:t>
                            </m:r>
                          </m:sub>
                          <m:sup/>
                          <m:e>
                            <m:f>
                              <m:fPr>
                                <m:ctrlPr>
                                  <a:rPr lang="es-ES" sz="14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</a:rPr>
                                </m:ctrlPr>
                              </m:fPr>
                              <m:num>
                                <m:sSubSup>
                                  <m:sSubSupPr>
                                    <m:ctrlPr>
                                      <a:rPr lang="es-ES" sz="140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</a:rPr>
                                    </m:ctrlPr>
                                  </m:sSubSupPr>
                                  <m:e>
                                    <m:r>
                                      <a:rPr lang="es-ES" sz="140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/>
                                        <a:ea typeface="Times New Roman"/>
                                        <a:cs typeface="Times New Roman"/>
                                      </a:rPr>
                                      <m:t>𝑃</m:t>
                                    </m:r>
                                  </m:e>
                                  <m:sub>
                                    <m:r>
                                      <a:rPr lang="en-GB" sz="140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/>
                                        <a:ea typeface="Times New Roman"/>
                                        <a:cs typeface="Times New Roman"/>
                                      </a:rPr>
                                      <m:t>𝑖𝑗𝑘</m:t>
                                    </m:r>
                                  </m:sub>
                                  <m:sup>
                                    <m:r>
                                      <a:rPr lang="es-ES" sz="140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/>
                                        <a:ea typeface="Times New Roman"/>
                                        <a:cs typeface="Times New Roman"/>
                                      </a:rPr>
                                      <m:t>+</m:t>
                                    </m:r>
                                  </m:sup>
                                </m:sSubSup>
                              </m:num>
                              <m:den>
                                <m:sSubSup>
                                  <m:sSubSupPr>
                                    <m:ctrlPr>
                                      <a:rPr lang="es-ES" sz="140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</a:rPr>
                                    </m:ctrlPr>
                                  </m:sSubSupPr>
                                  <m:e>
                                    <m:r>
                                      <a:rPr lang="en-GB" sz="140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/>
                                        <a:ea typeface="Times New Roman"/>
                                        <a:cs typeface="Times New Roman"/>
                                      </a:rPr>
                                      <m:t>𝑊</m:t>
                                    </m:r>
                                  </m:e>
                                  <m:sub>
                                    <m:r>
                                      <a:rPr lang="en-GB" sz="140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/>
                                        <a:ea typeface="Times New Roman"/>
                                        <a:cs typeface="Times New Roman"/>
                                      </a:rPr>
                                      <m:t>𝑗𝑘</m:t>
                                    </m:r>
                                  </m:sub>
                                  <m:sup>
                                    <m:r>
                                      <a:rPr lang="es-ES" sz="140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/>
                                        <a:ea typeface="Times New Roman"/>
                                        <a:cs typeface="Times New Roman"/>
                                      </a:rPr>
                                      <m:t>−</m:t>
                                    </m:r>
                                  </m:sup>
                                </m:sSubSup>
                                <m:r>
                                  <a:rPr lang="es-ES" sz="14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/>
                                    <a:ea typeface="Times New Roman"/>
                                    <a:cs typeface="Times New Roman"/>
                                  </a:rPr>
                                  <m:t>.</m:t>
                                </m:r>
                                <m:sSubSup>
                                  <m:sSubSupPr>
                                    <m:ctrlPr>
                                      <a:rPr lang="es-ES" sz="140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</a:rPr>
                                    </m:ctrlPr>
                                  </m:sSubSupPr>
                                  <m:e>
                                    <m:r>
                                      <a:rPr lang="en-GB" sz="140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/>
                                        <a:ea typeface="Times New Roman"/>
                                        <a:cs typeface="Times New Roman"/>
                                      </a:rPr>
                                      <m:t>𝐺</m:t>
                                    </m:r>
                                  </m:e>
                                  <m:sub>
                                    <m:r>
                                      <a:rPr lang="en-GB" sz="140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/>
                                        <a:ea typeface="Times New Roman"/>
                                        <a:cs typeface="Times New Roman"/>
                                      </a:rPr>
                                      <m:t>𝑗𝑘</m:t>
                                    </m:r>
                                  </m:sub>
                                  <m:sup>
                                    <m:r>
                                      <a:rPr lang="es-ES" sz="140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/>
                                        <a:ea typeface="Times New Roman"/>
                                        <a:cs typeface="Times New Roman"/>
                                      </a:rPr>
                                      <m:t>+</m:t>
                                    </m:r>
                                  </m:sup>
                                </m:sSubSup>
                              </m:den>
                            </m:f>
                          </m:e>
                        </m:nary>
                      </m:e>
                    </m:nary>
                  </m:oMath>
                </m:oMathPara>
              </a14:m>
              <a:endParaRPr lang="es-ES" sz="1400">
                <a:solidFill>
                  <a:schemeClr val="tx1"/>
                </a:solidFill>
              </a:endParaRPr>
            </a:p>
          </xdr:txBody>
        </xdr:sp>
      </mc:Choice>
      <mc:Fallback xmlns="">
        <xdr:sp macro="" textlink="">
          <xdr:nvSpPr>
            <xdr:cNvPr id="16" name="3 Rectángulo"/>
            <xdr:cNvSpPr/>
          </xdr:nvSpPr>
          <xdr:spPr>
            <a:xfrm>
              <a:off x="4038600" y="4648200"/>
              <a:ext cx="2863796" cy="741485"/>
            </a:xfrm>
            <a:prstGeom prst="rect">
              <a:avLst/>
            </a:prstGeom>
          </xdr:spPr>
          <xdr:txBody>
            <a:bodyPr wrap="square">
              <a:spAutoFit/>
            </a:bodyPr>
            <a:lstStyle>
              <a:defPPr>
                <a:defRPr lang="es-E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/>
              <a:r>
                <a:rPr lang="es-ES" sz="1400" i="0">
                  <a:solidFill>
                    <a:schemeClr val="tx1"/>
                  </a:solidFill>
                  <a:latin typeface="Cambria Math"/>
                </a:rPr>
                <a:t>〖</a:t>
              </a:r>
              <a:r>
                <a:rPr lang="en-GB" sz="1400" i="0">
                  <a:solidFill>
                    <a:schemeClr val="tx1"/>
                  </a:solidFill>
                  <a:effectLst/>
                  <a:latin typeface="Cambria Math"/>
                  <a:ea typeface="Times New Roman"/>
                  <a:cs typeface="Times New Roman"/>
                </a:rPr>
                <a:t>𝐼𝑆𝐺</a:t>
              </a:r>
              <a:r>
                <a:rPr lang="es-ES" sz="1400" i="0">
                  <a:solidFill>
                    <a:schemeClr val="tx1"/>
                  </a:solidFill>
                  <a:effectLst/>
                  <a:latin typeface="Cambria Math"/>
                  <a:ea typeface="Times New Roman"/>
                  <a:cs typeface="Times New Roman"/>
                </a:rPr>
                <a:t>〗_</a:t>
              </a:r>
              <a:r>
                <a:rPr lang="en-GB" sz="1400" i="0">
                  <a:solidFill>
                    <a:schemeClr val="tx1"/>
                  </a:solidFill>
                  <a:effectLst/>
                  <a:latin typeface="Cambria Math"/>
                  <a:ea typeface="Times New Roman"/>
                  <a:cs typeface="Times New Roman"/>
                </a:rPr>
                <a:t>𝑖𝑗𝑘^</a:t>
              </a:r>
              <a:r>
                <a:rPr lang="es-ES" sz="1400" i="0">
                  <a:solidFill>
                    <a:schemeClr val="tx1"/>
                  </a:solidFill>
                  <a:effectLst/>
                  <a:latin typeface="Cambria Math"/>
                  <a:ea typeface="Times New Roman"/>
                  <a:cs typeface="Times New Roman"/>
                </a:rPr>
                <a:t>+=</a:t>
              </a:r>
              <a:r>
                <a:rPr lang="es-ES" sz="1400" i="0">
                  <a:solidFill>
                    <a:schemeClr val="tx1"/>
                  </a:solidFill>
                  <a:effectLst/>
                  <a:latin typeface="Cambria Math"/>
                </a:rPr>
                <a:t>∑17</a:t>
              </a:r>
              <a:r>
                <a:rPr lang="en-GB" sz="1400" i="0">
                  <a:solidFill>
                    <a:schemeClr val="tx1"/>
                  </a:solidFill>
                  <a:effectLst/>
                  <a:latin typeface="Cambria Math"/>
                </a:rPr>
                <a:t>_</a:t>
              </a:r>
              <a:r>
                <a:rPr lang="en-GB" sz="1400" i="0">
                  <a:solidFill>
                    <a:schemeClr val="tx1"/>
                  </a:solidFill>
                  <a:effectLst/>
                  <a:latin typeface="Cambria Math"/>
                  <a:ea typeface="Times New Roman"/>
                  <a:cs typeface="Times New Roman"/>
                </a:rPr>
                <a:t>𝑖𝑗𝑘</a:t>
              </a:r>
              <a:r>
                <a:rPr lang="es-ES" sz="1400" i="0">
                  <a:solidFill>
                    <a:schemeClr val="tx1"/>
                  </a:solidFill>
                  <a:effectLst/>
                  <a:latin typeface="Cambria Math"/>
                  <a:ea typeface="Times New Roman"/>
                  <a:cs typeface="Times New Roman"/>
                </a:rPr>
                <a:t>▒〖(</a:t>
              </a:r>
              <a:r>
                <a:rPr lang="en-GB" sz="1400" i="0">
                  <a:solidFill>
                    <a:schemeClr val="tx1"/>
                  </a:solidFill>
                  <a:effectLst/>
                  <a:latin typeface="Cambria Math"/>
                  <a:ea typeface="Times New Roman"/>
                  <a:cs typeface="Times New Roman"/>
                </a:rPr>
                <a:t>𝑁</a:t>
              </a:r>
              <a:r>
                <a:rPr lang="es-ES" sz="1400" i="0">
                  <a:solidFill>
                    <a:schemeClr val="tx1"/>
                  </a:solidFill>
                  <a:effectLst/>
                  <a:latin typeface="Cambria Math"/>
                  <a:ea typeface="Times New Roman"/>
                  <a:cs typeface="Times New Roman"/>
                </a:rPr>
                <a:t>_</a:t>
              </a:r>
              <a:r>
                <a:rPr lang="en-GB" sz="1400" i="0">
                  <a:solidFill>
                    <a:schemeClr val="tx1"/>
                  </a:solidFill>
                  <a:effectLst/>
                  <a:latin typeface="Cambria Math"/>
                  <a:ea typeface="Times New Roman"/>
                  <a:cs typeface="Times New Roman"/>
                </a:rPr>
                <a:t>𝑖𝑗𝑘^</a:t>
              </a:r>
              <a:r>
                <a:rPr lang="es-ES" sz="1400" i="0">
                  <a:solidFill>
                    <a:schemeClr val="tx1"/>
                  </a:solidFill>
                  <a:effectLst/>
                  <a:latin typeface="Cambria Math"/>
                  <a:ea typeface="Times New Roman"/>
                  <a:cs typeface="Times New Roman"/>
                </a:rPr>
                <a:t>+)/(</a:t>
              </a:r>
              <a:r>
                <a:rPr lang="en-GB" sz="1400" i="0">
                  <a:solidFill>
                    <a:schemeClr val="tx1"/>
                  </a:solidFill>
                  <a:effectLst/>
                  <a:latin typeface="Cambria Math"/>
                  <a:ea typeface="Times New Roman"/>
                  <a:cs typeface="Times New Roman"/>
                </a:rPr>
                <a:t>𝑊</a:t>
              </a:r>
              <a:r>
                <a:rPr lang="es-ES" sz="1400" i="0">
                  <a:solidFill>
                    <a:schemeClr val="tx1"/>
                  </a:solidFill>
                  <a:effectLst/>
                  <a:latin typeface="Cambria Math"/>
                  <a:ea typeface="Times New Roman"/>
                  <a:cs typeface="Times New Roman"/>
                </a:rPr>
                <a:t>_</a:t>
              </a:r>
              <a:r>
                <a:rPr lang="en-GB" sz="1400" i="0">
                  <a:solidFill>
                    <a:schemeClr val="tx1"/>
                  </a:solidFill>
                  <a:effectLst/>
                  <a:latin typeface="Cambria Math"/>
                  <a:ea typeface="Times New Roman"/>
                  <a:cs typeface="Times New Roman"/>
                </a:rPr>
                <a:t>𝑗𝑘^</a:t>
              </a:r>
              <a:r>
                <a:rPr lang="es-ES" sz="1400" i="0">
                  <a:solidFill>
                    <a:schemeClr val="tx1"/>
                  </a:solidFill>
                  <a:effectLst/>
                  <a:latin typeface="Cambria Math"/>
                  <a:ea typeface="Times New Roman"/>
                  <a:cs typeface="Times New Roman"/>
                </a:rPr>
                <a:t>+.</a:t>
              </a:r>
              <a:r>
                <a:rPr lang="en-GB" sz="1400" i="0">
                  <a:solidFill>
                    <a:schemeClr val="tx1"/>
                  </a:solidFill>
                  <a:effectLst/>
                  <a:latin typeface="Cambria Math"/>
                  <a:ea typeface="Times New Roman"/>
                  <a:cs typeface="Times New Roman"/>
                </a:rPr>
                <a:t>𝐺</a:t>
              </a:r>
              <a:r>
                <a:rPr lang="es-ES" sz="1400" i="0">
                  <a:solidFill>
                    <a:schemeClr val="tx1"/>
                  </a:solidFill>
                  <a:effectLst/>
                  <a:latin typeface="Cambria Math"/>
                  <a:ea typeface="Times New Roman"/>
                  <a:cs typeface="Times New Roman"/>
                </a:rPr>
                <a:t>_</a:t>
              </a:r>
              <a:r>
                <a:rPr lang="en-GB" sz="1400" i="0">
                  <a:solidFill>
                    <a:schemeClr val="tx1"/>
                  </a:solidFill>
                  <a:effectLst/>
                  <a:latin typeface="Cambria Math"/>
                  <a:ea typeface="Times New Roman"/>
                  <a:cs typeface="Times New Roman"/>
                </a:rPr>
                <a:t>𝑗𝑘^</a:t>
              </a:r>
              <a:r>
                <a:rPr lang="es-ES" sz="1400" i="0">
                  <a:solidFill>
                    <a:schemeClr val="tx1"/>
                  </a:solidFill>
                  <a:effectLst/>
                  <a:latin typeface="Cambria Math"/>
                  <a:ea typeface="Times New Roman"/>
                  <a:cs typeface="Times New Roman"/>
                </a:rPr>
                <a:t>+ )+∑17</a:t>
              </a:r>
              <a:r>
                <a:rPr lang="en-GB" sz="1400" i="0">
                  <a:solidFill>
                    <a:schemeClr val="tx1"/>
                  </a:solidFill>
                  <a:effectLst/>
                  <a:latin typeface="Cambria Math"/>
                  <a:ea typeface="Times New Roman"/>
                  <a:cs typeface="Times New Roman"/>
                </a:rPr>
                <a:t>_𝑖𝑗𝑘</a:t>
              </a:r>
              <a:r>
                <a:rPr lang="es-ES" sz="1400" i="0">
                  <a:solidFill>
                    <a:schemeClr val="tx1"/>
                  </a:solidFill>
                  <a:effectLst/>
                  <a:latin typeface="Cambria Math"/>
                  <a:ea typeface="Times New Roman"/>
                  <a:cs typeface="Times New Roman"/>
                </a:rPr>
                <a:t>▒(𝑃_</a:t>
              </a:r>
              <a:r>
                <a:rPr lang="en-GB" sz="1400" i="0">
                  <a:solidFill>
                    <a:schemeClr val="tx1"/>
                  </a:solidFill>
                  <a:effectLst/>
                  <a:latin typeface="Cambria Math"/>
                  <a:ea typeface="Times New Roman"/>
                  <a:cs typeface="Times New Roman"/>
                </a:rPr>
                <a:t>𝑖𝑗𝑘^</a:t>
              </a:r>
              <a:r>
                <a:rPr lang="es-ES" sz="1400" i="0">
                  <a:solidFill>
                    <a:schemeClr val="tx1"/>
                  </a:solidFill>
                  <a:effectLst/>
                  <a:latin typeface="Cambria Math"/>
                  <a:ea typeface="Times New Roman"/>
                  <a:cs typeface="Times New Roman"/>
                </a:rPr>
                <a:t>+)/(</a:t>
              </a:r>
              <a:r>
                <a:rPr lang="en-GB" sz="1400" i="0">
                  <a:solidFill>
                    <a:schemeClr val="tx1"/>
                  </a:solidFill>
                  <a:effectLst/>
                  <a:latin typeface="Cambria Math"/>
                  <a:ea typeface="Times New Roman"/>
                  <a:cs typeface="Times New Roman"/>
                </a:rPr>
                <a:t>𝑊</a:t>
              </a:r>
              <a:r>
                <a:rPr lang="es-ES" sz="1400" i="0">
                  <a:solidFill>
                    <a:schemeClr val="tx1"/>
                  </a:solidFill>
                  <a:effectLst/>
                  <a:latin typeface="Cambria Math"/>
                  <a:ea typeface="Times New Roman"/>
                  <a:cs typeface="Times New Roman"/>
                </a:rPr>
                <a:t>_</a:t>
              </a:r>
              <a:r>
                <a:rPr lang="en-GB" sz="1400" i="0">
                  <a:solidFill>
                    <a:schemeClr val="tx1"/>
                  </a:solidFill>
                  <a:effectLst/>
                  <a:latin typeface="Cambria Math"/>
                  <a:ea typeface="Times New Roman"/>
                  <a:cs typeface="Times New Roman"/>
                </a:rPr>
                <a:t>𝑗𝑘^</a:t>
              </a:r>
              <a:r>
                <a:rPr lang="es-ES" sz="1400" i="0">
                  <a:solidFill>
                    <a:schemeClr val="tx1"/>
                  </a:solidFill>
                  <a:effectLst/>
                  <a:latin typeface="Cambria Math"/>
                  <a:ea typeface="Times New Roman"/>
                  <a:cs typeface="Times New Roman"/>
                </a:rPr>
                <a:t>−.</a:t>
              </a:r>
              <a:r>
                <a:rPr lang="en-GB" sz="1400" i="0">
                  <a:solidFill>
                    <a:schemeClr val="tx1"/>
                  </a:solidFill>
                  <a:effectLst/>
                  <a:latin typeface="Cambria Math"/>
                  <a:ea typeface="Times New Roman"/>
                  <a:cs typeface="Times New Roman"/>
                </a:rPr>
                <a:t>𝐺</a:t>
              </a:r>
              <a:r>
                <a:rPr lang="es-ES" sz="1400" i="0">
                  <a:solidFill>
                    <a:schemeClr val="tx1"/>
                  </a:solidFill>
                  <a:effectLst/>
                  <a:latin typeface="Cambria Math"/>
                  <a:ea typeface="Times New Roman"/>
                  <a:cs typeface="Times New Roman"/>
                </a:rPr>
                <a:t>_</a:t>
              </a:r>
              <a:r>
                <a:rPr lang="en-GB" sz="1400" i="0">
                  <a:solidFill>
                    <a:schemeClr val="tx1"/>
                  </a:solidFill>
                  <a:effectLst/>
                  <a:latin typeface="Cambria Math"/>
                  <a:ea typeface="Times New Roman"/>
                  <a:cs typeface="Times New Roman"/>
                </a:rPr>
                <a:t>𝑗𝑘^</a:t>
              </a:r>
              <a:r>
                <a:rPr lang="es-ES" sz="1400" i="0">
                  <a:solidFill>
                    <a:schemeClr val="tx1"/>
                  </a:solidFill>
                  <a:effectLst/>
                  <a:latin typeface="Cambria Math"/>
                  <a:ea typeface="Times New Roman"/>
                  <a:cs typeface="Times New Roman"/>
                </a:rPr>
                <a:t>+ )〗</a:t>
              </a:r>
              <a:endParaRPr lang="es-ES" sz="1400">
                <a:solidFill>
                  <a:schemeClr val="tx1"/>
                </a:solidFill>
              </a:endParaRPr>
            </a:p>
          </xdr:txBody>
        </xdr:sp>
      </mc:Fallback>
    </mc:AlternateContent>
    <xdr:clientData/>
  </xdr:twoCellAnchor>
  <xdr:twoCellAnchor>
    <xdr:from>
      <xdr:col>13</xdr:col>
      <xdr:colOff>379942</xdr:colOff>
      <xdr:row>33</xdr:row>
      <xdr:rowOff>147108</xdr:rowOff>
    </xdr:from>
    <xdr:to>
      <xdr:col>17</xdr:col>
      <xdr:colOff>8940</xdr:colOff>
      <xdr:row>37</xdr:row>
      <xdr:rowOff>87435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8" name="4 Rectángulo">
              <a:extLst>
                <a:ext uri="{FF2B5EF4-FFF2-40B4-BE49-F238E27FC236}">
                  <a16:creationId xmlns:a16="http://schemas.microsoft.com/office/drawing/2014/main" xmlns="" id="{00000000-0008-0000-0100-000012000000}"/>
                </a:ext>
              </a:extLst>
            </xdr:cNvPr>
            <xdr:cNvSpPr/>
          </xdr:nvSpPr>
          <xdr:spPr>
            <a:xfrm>
              <a:off x="13683192" y="6804025"/>
              <a:ext cx="3386081" cy="744660"/>
            </a:xfrm>
            <a:prstGeom prst="rect">
              <a:avLst/>
            </a:prstGeom>
          </xdr:spPr>
          <xdr:txBody>
            <a:bodyPr wrap="square">
              <a:spAutoFit/>
            </a:bodyPr>
            <a:lstStyle>
              <a:defPPr>
                <a:defRPr lang="es-E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es-ES" sz="1400" i="1">
                            <a:latin typeface="Cambria Math" panose="02040503050406030204" pitchFamily="18" charset="0"/>
                          </a:rPr>
                        </m:ctrlPr>
                      </m:sSubSupPr>
                      <m:e>
                        <m:r>
                          <a:rPr lang="en-GB" sz="1400" i="1">
                            <a:latin typeface="Cambria Math"/>
                          </a:rPr>
                          <m:t>𝐼𝑆𝐺</m:t>
                        </m:r>
                      </m:e>
                      <m:sub>
                        <m:r>
                          <a:rPr lang="en-GB" sz="1400" i="1">
                            <a:latin typeface="Cambria Math"/>
                          </a:rPr>
                          <m:t>𝑖𝑗𝑘</m:t>
                        </m:r>
                      </m:sub>
                      <m:sup>
                        <m:r>
                          <a:rPr lang="es-ES" sz="1400" i="1">
                            <a:latin typeface="Cambria Math"/>
                          </a:rPr>
                          <m:t>−</m:t>
                        </m:r>
                      </m:sup>
                    </m:sSubSup>
                    <m:r>
                      <a:rPr lang="es-ES" sz="1400" i="1">
                        <a:latin typeface="Cambria Math"/>
                      </a:rPr>
                      <m:t>=</m:t>
                    </m:r>
                    <m:nary>
                      <m:naryPr>
                        <m:chr m:val="∑"/>
                        <m:limLoc m:val="undOvr"/>
                        <m:ctrlPr>
                          <a:rPr lang="es-ES" sz="1400" i="1">
                            <a:latin typeface="Cambria Math" panose="02040503050406030204" pitchFamily="18" charset="0"/>
                          </a:rPr>
                        </m:ctrlPr>
                      </m:naryPr>
                      <m:sub>
                        <m:r>
                          <a:rPr lang="en-GB" sz="1400" i="1">
                            <a:latin typeface="Cambria Math"/>
                          </a:rPr>
                          <m:t>𝑖𝑗𝑘</m:t>
                        </m:r>
                      </m:sub>
                      <m:sup/>
                      <m:e>
                        <m:f>
                          <m:fPr>
                            <m:ctrlPr>
                              <a:rPr lang="es-ES" sz="1400" i="1">
                                <a:latin typeface="Cambria Math" panose="02040503050406030204" pitchFamily="18" charset="0"/>
                              </a:rPr>
                            </m:ctrlPr>
                          </m:fPr>
                          <m:num>
                            <m:sSubSup>
                              <m:sSubSupPr>
                                <m:ctrlPr>
                                  <a:rPr lang="es-ES" sz="1400" i="1">
                                    <a:latin typeface="Cambria Math" panose="02040503050406030204" pitchFamily="18" charset="0"/>
                                  </a:rPr>
                                </m:ctrlPr>
                              </m:sSubSupPr>
                              <m:e>
                                <m:r>
                                  <a:rPr lang="en-GB" sz="1400" i="1">
                                    <a:latin typeface="Cambria Math"/>
                                  </a:rPr>
                                  <m:t>𝑁</m:t>
                                </m:r>
                              </m:e>
                              <m:sub>
                                <m:r>
                                  <a:rPr lang="en-GB" sz="1400" i="1">
                                    <a:latin typeface="Cambria Math"/>
                                  </a:rPr>
                                  <m:t>𝑖𝑗𝑘</m:t>
                                </m:r>
                              </m:sub>
                              <m:sup>
                                <m:r>
                                  <a:rPr lang="es-ES" sz="1400" i="1">
                                    <a:latin typeface="Cambria Math"/>
                                  </a:rPr>
                                  <m:t>−</m:t>
                                </m:r>
                              </m:sup>
                            </m:sSubSup>
                          </m:num>
                          <m:den>
                            <m:sSubSup>
                              <m:sSubSupPr>
                                <m:ctrlPr>
                                  <a:rPr lang="es-ES" sz="1400" i="1">
                                    <a:latin typeface="Cambria Math" panose="02040503050406030204" pitchFamily="18" charset="0"/>
                                  </a:rPr>
                                </m:ctrlPr>
                              </m:sSubSupPr>
                              <m:e>
                                <m:r>
                                  <a:rPr lang="en-GB" sz="1400" i="1">
                                    <a:latin typeface="Cambria Math"/>
                                  </a:rPr>
                                  <m:t>𝑊</m:t>
                                </m:r>
                              </m:e>
                              <m:sub>
                                <m:r>
                                  <a:rPr lang="en-GB" sz="1400" i="1">
                                    <a:latin typeface="Cambria Math"/>
                                  </a:rPr>
                                  <m:t>𝑗𝑘</m:t>
                                </m:r>
                              </m:sub>
                              <m:sup>
                                <m:r>
                                  <a:rPr lang="es-ES" sz="1400" i="1">
                                    <a:latin typeface="Cambria Math"/>
                                  </a:rPr>
                                  <m:t>−</m:t>
                                </m:r>
                              </m:sup>
                            </m:sSubSup>
                            <m:r>
                              <a:rPr lang="es-ES" sz="1400" i="1">
                                <a:latin typeface="Cambria Math"/>
                              </a:rPr>
                              <m:t>.</m:t>
                            </m:r>
                            <m:sSubSup>
                              <m:sSubSupPr>
                                <m:ctrlPr>
                                  <a:rPr lang="es-ES" sz="1400" i="1">
                                    <a:latin typeface="Cambria Math" panose="02040503050406030204" pitchFamily="18" charset="0"/>
                                  </a:rPr>
                                </m:ctrlPr>
                              </m:sSubSupPr>
                              <m:e>
                                <m:r>
                                  <a:rPr lang="en-GB" sz="1400" i="1">
                                    <a:latin typeface="Cambria Math"/>
                                  </a:rPr>
                                  <m:t>𝐺</m:t>
                                </m:r>
                              </m:e>
                              <m:sub>
                                <m:r>
                                  <a:rPr lang="en-GB" sz="1400" i="1">
                                    <a:latin typeface="Cambria Math"/>
                                  </a:rPr>
                                  <m:t>𝑗𝑘</m:t>
                                </m:r>
                              </m:sub>
                              <m:sup>
                                <m:r>
                                  <a:rPr lang="es-ES" sz="1400" i="1">
                                    <a:latin typeface="Cambria Math"/>
                                  </a:rPr>
                                  <m:t>−</m:t>
                                </m:r>
                              </m:sup>
                            </m:sSubSup>
                          </m:den>
                        </m:f>
                        <m:r>
                          <a:rPr lang="es-ES" sz="1400" i="1">
                            <a:latin typeface="Cambria Math"/>
                          </a:rPr>
                          <m:t>+</m:t>
                        </m:r>
                        <m:nary>
                          <m:naryPr>
                            <m:chr m:val="∑"/>
                            <m:limLoc m:val="undOvr"/>
                            <m:ctrlPr>
                              <a:rPr lang="es-ES" sz="1400" i="1">
                                <a:latin typeface="Cambria Math" panose="02040503050406030204" pitchFamily="18" charset="0"/>
                              </a:rPr>
                            </m:ctrlPr>
                          </m:naryPr>
                          <m:sub>
                            <m:r>
                              <a:rPr lang="en-GB" sz="1400" i="1">
                                <a:latin typeface="Cambria Math"/>
                              </a:rPr>
                              <m:t>𝑖𝑗𝑘</m:t>
                            </m:r>
                          </m:sub>
                          <m:sup/>
                          <m:e>
                            <m:f>
                              <m:fPr>
                                <m:ctrlPr>
                                  <a:rPr lang="es-ES" sz="1400" i="1">
                                    <a:latin typeface="Cambria Math" panose="02040503050406030204" pitchFamily="18" charset="0"/>
                                  </a:rPr>
                                </m:ctrlPr>
                              </m:fPr>
                              <m:num>
                                <m:sSubSup>
                                  <m:sSubSupPr>
                                    <m:ctrlPr>
                                      <a:rPr lang="es-ES" sz="1400" i="1">
                                        <a:latin typeface="Cambria Math" panose="02040503050406030204" pitchFamily="18" charset="0"/>
                                      </a:rPr>
                                    </m:ctrlPr>
                                  </m:sSubSupPr>
                                  <m:e>
                                    <m:r>
                                      <a:rPr lang="es-ES" sz="1400" i="1">
                                        <a:latin typeface="Cambria Math"/>
                                      </a:rPr>
                                      <m:t>𝑃</m:t>
                                    </m:r>
                                  </m:e>
                                  <m:sub>
                                    <m:r>
                                      <a:rPr lang="en-GB" sz="1400" i="1">
                                        <a:latin typeface="Cambria Math"/>
                                      </a:rPr>
                                      <m:t>𝑖𝑗𝑘</m:t>
                                    </m:r>
                                  </m:sub>
                                  <m:sup>
                                    <m:r>
                                      <a:rPr lang="es-ES" sz="1400" i="1">
                                        <a:latin typeface="Cambria Math"/>
                                      </a:rPr>
                                      <m:t>−</m:t>
                                    </m:r>
                                  </m:sup>
                                </m:sSubSup>
                              </m:num>
                              <m:den>
                                <m:sSubSup>
                                  <m:sSubSupPr>
                                    <m:ctrlPr>
                                      <a:rPr lang="es-ES" sz="1400" i="1">
                                        <a:latin typeface="Cambria Math" panose="02040503050406030204" pitchFamily="18" charset="0"/>
                                      </a:rPr>
                                    </m:ctrlPr>
                                  </m:sSubSupPr>
                                  <m:e>
                                    <m:r>
                                      <a:rPr lang="en-GB" sz="1400" i="1">
                                        <a:latin typeface="Cambria Math"/>
                                      </a:rPr>
                                      <m:t>𝑊</m:t>
                                    </m:r>
                                  </m:e>
                                  <m:sub>
                                    <m:r>
                                      <a:rPr lang="en-GB" sz="1400" i="1">
                                        <a:latin typeface="Cambria Math"/>
                                      </a:rPr>
                                      <m:t>𝑗𝑘</m:t>
                                    </m:r>
                                  </m:sub>
                                  <m:sup>
                                    <m:r>
                                      <a:rPr lang="es-ES" sz="1400" i="1">
                                        <a:latin typeface="Cambria Math"/>
                                      </a:rPr>
                                      <m:t>+</m:t>
                                    </m:r>
                                  </m:sup>
                                </m:sSubSup>
                                <m:r>
                                  <a:rPr lang="es-ES" sz="1400" i="1">
                                    <a:latin typeface="Cambria Math"/>
                                  </a:rPr>
                                  <m:t>.</m:t>
                                </m:r>
                                <m:sSubSup>
                                  <m:sSubSupPr>
                                    <m:ctrlPr>
                                      <a:rPr lang="es-ES" sz="1400" i="1">
                                        <a:latin typeface="Cambria Math" panose="02040503050406030204" pitchFamily="18" charset="0"/>
                                      </a:rPr>
                                    </m:ctrlPr>
                                  </m:sSubSupPr>
                                  <m:e>
                                    <m:r>
                                      <a:rPr lang="en-GB" sz="1400" i="1">
                                        <a:latin typeface="Cambria Math"/>
                                      </a:rPr>
                                      <m:t>𝐺</m:t>
                                    </m:r>
                                  </m:e>
                                  <m:sub>
                                    <m:r>
                                      <a:rPr lang="en-GB" sz="1400" i="1">
                                        <a:latin typeface="Cambria Math"/>
                                      </a:rPr>
                                      <m:t>𝑗𝑘</m:t>
                                    </m:r>
                                  </m:sub>
                                  <m:sup>
                                    <m:r>
                                      <a:rPr lang="es-ES" sz="1400" i="1">
                                        <a:latin typeface="Cambria Math"/>
                                      </a:rPr>
                                      <m:t>−</m:t>
                                    </m:r>
                                  </m:sup>
                                </m:sSubSup>
                              </m:den>
                            </m:f>
                          </m:e>
                        </m:nary>
                      </m:e>
                    </m:nary>
                  </m:oMath>
                </m:oMathPara>
              </a14:m>
              <a:endParaRPr lang="es-ES" sz="1400" i="1">
                <a:latin typeface="Cambria Math"/>
              </a:endParaRPr>
            </a:p>
          </xdr:txBody>
        </xdr:sp>
      </mc:Choice>
      <mc:Fallback xmlns="">
        <xdr:sp macro="" textlink="">
          <xdr:nvSpPr>
            <xdr:cNvPr id="18" name="4 Rectángulo">
              <a:extLst>
                <a:ext uri="{FF2B5EF4-FFF2-40B4-BE49-F238E27FC236}">
                  <a16:creationId xmlns:a16="http://schemas.microsoft.com/office/drawing/2014/main" id="{00000000-0008-0000-0200-000012000000}"/>
                </a:ext>
              </a:extLst>
            </xdr:cNvPr>
            <xdr:cNvSpPr/>
          </xdr:nvSpPr>
          <xdr:spPr>
            <a:xfrm>
              <a:off x="13683192" y="6804025"/>
              <a:ext cx="3386081" cy="744660"/>
            </a:xfrm>
            <a:prstGeom prst="rect">
              <a:avLst/>
            </a:prstGeom>
          </xdr:spPr>
          <xdr:txBody>
            <a:bodyPr wrap="square">
              <a:spAutoFit/>
            </a:bodyPr>
            <a:lstStyle>
              <a:defPPr>
                <a:defRPr lang="es-E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/>
              <a:r>
                <a:rPr lang="es-ES" sz="1400" i="0">
                  <a:latin typeface="Cambria Math" panose="02040503050406030204" pitchFamily="18" charset="0"/>
                </a:rPr>
                <a:t>〖</a:t>
              </a:r>
              <a:r>
                <a:rPr lang="en-GB" sz="1400" i="0">
                  <a:latin typeface="Cambria Math"/>
                </a:rPr>
                <a:t>𝐼𝑆𝐺</a:t>
              </a:r>
              <a:r>
                <a:rPr lang="es-ES" sz="1400" i="0">
                  <a:latin typeface="Cambria Math" panose="02040503050406030204" pitchFamily="18" charset="0"/>
                </a:rPr>
                <a:t>〗_</a:t>
              </a:r>
              <a:r>
                <a:rPr lang="en-GB" sz="1400" i="0">
                  <a:latin typeface="Cambria Math"/>
                </a:rPr>
                <a:t>𝑖𝑗𝑘</a:t>
              </a:r>
              <a:r>
                <a:rPr lang="en-GB" sz="1400" i="0">
                  <a:latin typeface="Cambria Math" panose="02040503050406030204" pitchFamily="18" charset="0"/>
                </a:rPr>
                <a:t>^</a:t>
              </a:r>
              <a:r>
                <a:rPr lang="es-ES" sz="1400" i="0">
                  <a:latin typeface="Cambria Math"/>
                </a:rPr>
                <a:t>−=</a:t>
              </a:r>
              <a:r>
                <a:rPr lang="es-ES" sz="1400" i="0">
                  <a:latin typeface="Cambria Math" panose="02040503050406030204" pitchFamily="18" charset="0"/>
                </a:rPr>
                <a:t>∑17</a:t>
              </a:r>
              <a:r>
                <a:rPr lang="en-GB" sz="1400" i="0">
                  <a:latin typeface="Cambria Math" panose="02040503050406030204" pitchFamily="18" charset="0"/>
                </a:rPr>
                <a:t>_</a:t>
              </a:r>
              <a:r>
                <a:rPr lang="en-GB" sz="1400" i="0">
                  <a:latin typeface="Cambria Math"/>
                </a:rPr>
                <a:t>𝑖𝑗𝑘</a:t>
              </a:r>
              <a:r>
                <a:rPr lang="es-ES" sz="1400" i="0">
                  <a:latin typeface="Cambria Math" panose="02040503050406030204" pitchFamily="18" charset="0"/>
                </a:rPr>
                <a:t>▒〖(</a:t>
              </a:r>
              <a:r>
                <a:rPr lang="en-GB" sz="1400" i="0">
                  <a:latin typeface="Cambria Math"/>
                </a:rPr>
                <a:t>𝑁</a:t>
              </a:r>
              <a:r>
                <a:rPr lang="es-ES" sz="1400" i="0">
                  <a:latin typeface="Cambria Math" panose="02040503050406030204" pitchFamily="18" charset="0"/>
                </a:rPr>
                <a:t>_</a:t>
              </a:r>
              <a:r>
                <a:rPr lang="en-GB" sz="1400" i="0">
                  <a:latin typeface="Cambria Math"/>
                </a:rPr>
                <a:t>𝑖𝑗𝑘</a:t>
              </a:r>
              <a:r>
                <a:rPr lang="en-GB" sz="1400" i="0">
                  <a:latin typeface="Cambria Math" panose="02040503050406030204" pitchFamily="18" charset="0"/>
                </a:rPr>
                <a:t>^</a:t>
              </a:r>
              <a:r>
                <a:rPr lang="es-ES" sz="1400" i="0">
                  <a:latin typeface="Cambria Math"/>
                </a:rPr>
                <a:t>−</a:t>
              </a:r>
              <a:r>
                <a:rPr lang="es-ES" sz="1400" i="0">
                  <a:latin typeface="Cambria Math" panose="02040503050406030204" pitchFamily="18" charset="0"/>
                </a:rPr>
                <a:t>)/(</a:t>
              </a:r>
              <a:r>
                <a:rPr lang="en-GB" sz="1400" i="0">
                  <a:latin typeface="Cambria Math"/>
                </a:rPr>
                <a:t>𝑊</a:t>
              </a:r>
              <a:r>
                <a:rPr lang="es-ES" sz="1400" i="0">
                  <a:latin typeface="Cambria Math" panose="02040503050406030204" pitchFamily="18" charset="0"/>
                </a:rPr>
                <a:t>_</a:t>
              </a:r>
              <a:r>
                <a:rPr lang="en-GB" sz="1400" i="0">
                  <a:latin typeface="Cambria Math"/>
                </a:rPr>
                <a:t>𝑗𝑘</a:t>
              </a:r>
              <a:r>
                <a:rPr lang="en-GB" sz="1400" i="0">
                  <a:latin typeface="Cambria Math" panose="02040503050406030204" pitchFamily="18" charset="0"/>
                </a:rPr>
                <a:t>^</a:t>
              </a:r>
              <a:r>
                <a:rPr lang="es-ES" sz="1400" i="0">
                  <a:latin typeface="Cambria Math"/>
                </a:rPr>
                <a:t>−.</a:t>
              </a:r>
              <a:r>
                <a:rPr lang="en-GB" sz="1400" i="0">
                  <a:latin typeface="Cambria Math"/>
                </a:rPr>
                <a:t>𝐺</a:t>
              </a:r>
              <a:r>
                <a:rPr lang="es-ES" sz="1400" i="0">
                  <a:latin typeface="Cambria Math" panose="02040503050406030204" pitchFamily="18" charset="0"/>
                </a:rPr>
                <a:t>_</a:t>
              </a:r>
              <a:r>
                <a:rPr lang="en-GB" sz="1400" i="0">
                  <a:latin typeface="Cambria Math"/>
                </a:rPr>
                <a:t>𝑗𝑘</a:t>
              </a:r>
              <a:r>
                <a:rPr lang="en-GB" sz="1400" i="0">
                  <a:latin typeface="Cambria Math" panose="02040503050406030204" pitchFamily="18" charset="0"/>
                </a:rPr>
                <a:t>^</a:t>
              </a:r>
              <a:r>
                <a:rPr lang="es-ES" sz="1400" i="0">
                  <a:latin typeface="Cambria Math"/>
                </a:rPr>
                <a:t>−</a:t>
              </a:r>
              <a:r>
                <a:rPr lang="es-ES" sz="1400" i="0">
                  <a:latin typeface="Cambria Math" panose="02040503050406030204" pitchFamily="18" charset="0"/>
                </a:rPr>
                <a:t> )</a:t>
              </a:r>
              <a:r>
                <a:rPr lang="es-ES" sz="1400" i="0">
                  <a:latin typeface="Cambria Math"/>
                </a:rPr>
                <a:t>+</a:t>
              </a:r>
              <a:r>
                <a:rPr lang="es-ES" sz="1400" i="0">
                  <a:latin typeface="Cambria Math" panose="02040503050406030204" pitchFamily="18" charset="0"/>
                </a:rPr>
                <a:t>∑17</a:t>
              </a:r>
              <a:r>
                <a:rPr lang="en-GB" sz="1400" i="0">
                  <a:latin typeface="Cambria Math" panose="02040503050406030204" pitchFamily="18" charset="0"/>
                </a:rPr>
                <a:t>_</a:t>
              </a:r>
              <a:r>
                <a:rPr lang="en-GB" sz="1400" i="0">
                  <a:latin typeface="Cambria Math"/>
                </a:rPr>
                <a:t>𝑖𝑗𝑘</a:t>
              </a:r>
              <a:r>
                <a:rPr lang="es-ES" sz="1400" i="0">
                  <a:latin typeface="Cambria Math" panose="02040503050406030204" pitchFamily="18" charset="0"/>
                </a:rPr>
                <a:t>▒(</a:t>
              </a:r>
              <a:r>
                <a:rPr lang="es-ES" sz="1400" i="0">
                  <a:latin typeface="Cambria Math"/>
                </a:rPr>
                <a:t>𝑃</a:t>
              </a:r>
              <a:r>
                <a:rPr lang="es-ES" sz="1400" i="0">
                  <a:latin typeface="Cambria Math" panose="02040503050406030204" pitchFamily="18" charset="0"/>
                </a:rPr>
                <a:t>_</a:t>
              </a:r>
              <a:r>
                <a:rPr lang="en-GB" sz="1400" i="0">
                  <a:latin typeface="Cambria Math"/>
                </a:rPr>
                <a:t>𝑖𝑗𝑘</a:t>
              </a:r>
              <a:r>
                <a:rPr lang="en-GB" sz="1400" i="0">
                  <a:latin typeface="Cambria Math" panose="02040503050406030204" pitchFamily="18" charset="0"/>
                </a:rPr>
                <a:t>^</a:t>
              </a:r>
              <a:r>
                <a:rPr lang="es-ES" sz="1400" i="0">
                  <a:latin typeface="Cambria Math"/>
                </a:rPr>
                <a:t>−</a:t>
              </a:r>
              <a:r>
                <a:rPr lang="es-ES" sz="1400" i="0">
                  <a:latin typeface="Cambria Math" panose="02040503050406030204" pitchFamily="18" charset="0"/>
                </a:rPr>
                <a:t>)/(</a:t>
              </a:r>
              <a:r>
                <a:rPr lang="en-GB" sz="1400" i="0">
                  <a:latin typeface="Cambria Math"/>
                </a:rPr>
                <a:t>𝑊</a:t>
              </a:r>
              <a:r>
                <a:rPr lang="es-ES" sz="1400" i="0">
                  <a:latin typeface="Cambria Math" panose="02040503050406030204" pitchFamily="18" charset="0"/>
                </a:rPr>
                <a:t>_</a:t>
              </a:r>
              <a:r>
                <a:rPr lang="en-GB" sz="1400" i="0">
                  <a:latin typeface="Cambria Math"/>
                </a:rPr>
                <a:t>𝑗𝑘</a:t>
              </a:r>
              <a:r>
                <a:rPr lang="en-GB" sz="1400" i="0">
                  <a:latin typeface="Cambria Math" panose="02040503050406030204" pitchFamily="18" charset="0"/>
                </a:rPr>
                <a:t>^</a:t>
              </a:r>
              <a:r>
                <a:rPr lang="es-ES" sz="1400" i="0">
                  <a:latin typeface="Cambria Math"/>
                </a:rPr>
                <a:t>+.</a:t>
              </a:r>
              <a:r>
                <a:rPr lang="en-GB" sz="1400" i="0">
                  <a:latin typeface="Cambria Math"/>
                </a:rPr>
                <a:t>𝐺</a:t>
              </a:r>
              <a:r>
                <a:rPr lang="es-ES" sz="1400" i="0">
                  <a:latin typeface="Cambria Math" panose="02040503050406030204" pitchFamily="18" charset="0"/>
                </a:rPr>
                <a:t>_</a:t>
              </a:r>
              <a:r>
                <a:rPr lang="en-GB" sz="1400" i="0">
                  <a:latin typeface="Cambria Math"/>
                </a:rPr>
                <a:t>𝑗𝑘</a:t>
              </a:r>
              <a:r>
                <a:rPr lang="en-GB" sz="1400" i="0">
                  <a:latin typeface="Cambria Math" panose="02040503050406030204" pitchFamily="18" charset="0"/>
                </a:rPr>
                <a:t>^</a:t>
              </a:r>
              <a:r>
                <a:rPr lang="es-ES" sz="1400" i="0">
                  <a:latin typeface="Cambria Math"/>
                </a:rPr>
                <a:t>−</a:t>
              </a:r>
              <a:r>
                <a:rPr lang="es-ES" sz="1400" i="0">
                  <a:latin typeface="Cambria Math" panose="02040503050406030204" pitchFamily="18" charset="0"/>
                </a:rPr>
                <a:t> )〗</a:t>
              </a:r>
              <a:endParaRPr lang="es-ES" sz="1400" i="1">
                <a:latin typeface="Cambria Math"/>
              </a:endParaRPr>
            </a:p>
          </xdr:txBody>
        </xdr:sp>
      </mc:Fallback>
    </mc:AlternateContent>
    <xdr:clientData/>
  </xdr:twoCellAnchor>
  <xdr:twoCellAnchor>
    <xdr:from>
      <xdr:col>7</xdr:col>
      <xdr:colOff>878416</xdr:colOff>
      <xdr:row>36</xdr:row>
      <xdr:rowOff>115358</xdr:rowOff>
    </xdr:from>
    <xdr:to>
      <xdr:col>10</xdr:col>
      <xdr:colOff>541470</xdr:colOff>
      <xdr:row>40</xdr:row>
      <xdr:rowOff>146448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9" name="24 Rectángulo">
              <a:extLst>
                <a:ext uri="{FF2B5EF4-FFF2-40B4-BE49-F238E27FC236}">
                  <a16:creationId xmlns:a16="http://schemas.microsoft.com/office/drawing/2014/main" xmlns="" id="{00000000-0008-0000-0100-000013000000}"/>
                </a:ext>
              </a:extLst>
            </xdr:cNvPr>
            <xdr:cNvSpPr/>
          </xdr:nvSpPr>
          <xdr:spPr>
            <a:xfrm>
              <a:off x="7418916" y="7375525"/>
              <a:ext cx="3462471" cy="835423"/>
            </a:xfrm>
            <a:prstGeom prst="rect">
              <a:avLst/>
            </a:prstGeom>
          </xdr:spPr>
          <xdr:txBody>
            <a:bodyPr wrap="square">
              <a:spAutoFit/>
            </a:bodyPr>
            <a:lstStyle>
              <a:defPPr>
                <a:defRPr lang="es-E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s-ES" sz="1400" i="1">
                            <a:latin typeface="Cambria Math" panose="02040503050406030204" pitchFamily="18" charset="0"/>
                            <a:ea typeface="Times New Roman"/>
                            <a:cs typeface="Times New Roman"/>
                          </a:rPr>
                        </m:ctrlPr>
                      </m:sSubPr>
                      <m:e>
                        <m:r>
                          <a:rPr lang="en-GB" sz="1400">
                            <a:latin typeface="Cambria Math"/>
                            <a:ea typeface="Times New Roman"/>
                            <a:cs typeface="Times New Roman"/>
                          </a:rPr>
                          <m:t>𝑆𝐼𝑆</m:t>
                        </m:r>
                      </m:e>
                      <m:sub>
                        <m:r>
                          <a:rPr lang="en-GB" sz="1400">
                            <a:latin typeface="Cambria Math"/>
                            <a:ea typeface="Times New Roman"/>
                            <a:cs typeface="Times New Roman"/>
                          </a:rPr>
                          <m:t>𝑖𝑗</m:t>
                        </m:r>
                      </m:sub>
                    </m:sSub>
                    <m:r>
                      <a:rPr lang="en-GB" sz="1400">
                        <a:latin typeface="Cambria Math"/>
                        <a:ea typeface="Times New Roman"/>
                        <a:cs typeface="Times New Roman"/>
                      </a:rPr>
                      <m:t>=</m:t>
                    </m:r>
                    <m:nary>
                      <m:naryPr>
                        <m:chr m:val="∑"/>
                        <m:limLoc m:val="undOvr"/>
                        <m:ctrlPr>
                          <a:rPr lang="es-ES" sz="1400" i="1">
                            <a:latin typeface="Cambria Math" panose="02040503050406030204" pitchFamily="18" charset="0"/>
                            <a:ea typeface="Times New Roman"/>
                            <a:cs typeface="Times New Roman"/>
                          </a:rPr>
                        </m:ctrlPr>
                      </m:naryPr>
                      <m:sub>
                        <m:r>
                          <a:rPr lang="en-GB" sz="1400">
                            <a:latin typeface="Cambria Math"/>
                            <a:ea typeface="Times New Roman"/>
                            <a:cs typeface="Times New Roman"/>
                          </a:rPr>
                          <m:t>𝑖</m:t>
                        </m:r>
                      </m:sub>
                      <m:sup/>
                      <m:e>
                        <m:sSubSup>
                          <m:sSubSupPr>
                            <m:ctrlPr>
                              <a:rPr lang="es-ES" sz="1400" i="1">
                                <a:latin typeface="Cambria Math" panose="02040503050406030204" pitchFamily="18" charset="0"/>
                                <a:ea typeface="Times New Roman"/>
                                <a:cs typeface="Times New Roman"/>
                              </a:rPr>
                            </m:ctrlPr>
                          </m:sSubSupPr>
                          <m:e>
                            <m:nary>
                              <m:naryPr>
                                <m:chr m:val="∑"/>
                                <m:limLoc m:val="undOvr"/>
                                <m:ctrlPr>
                                  <a:rPr lang="es-ES" sz="1400" i="1">
                                    <a:latin typeface="Cambria Math" panose="02040503050406030204" pitchFamily="18" charset="0"/>
                                    <a:ea typeface="Times New Roman"/>
                                    <a:cs typeface="Times New Roman"/>
                                  </a:rPr>
                                </m:ctrlPr>
                              </m:naryPr>
                              <m:sub>
                                <m:r>
                                  <a:rPr lang="en-GB" sz="1400">
                                    <a:latin typeface="Cambria Math"/>
                                    <a:ea typeface="Times New Roman"/>
                                    <a:cs typeface="Times New Roman"/>
                                  </a:rPr>
                                  <m:t>𝑗</m:t>
                                </m:r>
                              </m:sub>
                              <m:sup/>
                              <m:e>
                                <m:nary>
                                  <m:naryPr>
                                    <m:chr m:val="∑"/>
                                    <m:limLoc m:val="undOvr"/>
                                    <m:ctrlPr>
                                      <a:rPr lang="es-ES" sz="1400" i="1">
                                        <a:latin typeface="Cambria Math" panose="02040503050406030204" pitchFamily="18" charset="0"/>
                                        <a:ea typeface="Times New Roman"/>
                                        <a:cs typeface="Times New Roman"/>
                                      </a:rPr>
                                    </m:ctrlPr>
                                  </m:naryPr>
                                  <m:sub>
                                    <m:r>
                                      <a:rPr lang="en-GB" sz="1400">
                                        <a:latin typeface="Cambria Math"/>
                                        <a:ea typeface="Times New Roman"/>
                                        <a:cs typeface="Times New Roman"/>
                                      </a:rPr>
                                      <m:t>𝑘</m:t>
                                    </m:r>
                                  </m:sub>
                                  <m:sup/>
                                  <m:e>
                                    <m:sSubSup>
                                      <m:sSubSupPr>
                                        <m:ctrlPr>
                                          <a:rPr lang="es-ES" sz="1400" i="1">
                                            <a:latin typeface="Cambria Math" panose="02040503050406030204" pitchFamily="18" charset="0"/>
                                            <a:ea typeface="Times New Roman"/>
                                            <a:cs typeface="Times New Roman"/>
                                          </a:rPr>
                                        </m:ctrlPr>
                                      </m:sSubSupPr>
                                      <m:e>
                                        <m:r>
                                          <a:rPr lang="en-GB" sz="1400">
                                            <a:latin typeface="Cambria Math"/>
                                            <a:ea typeface="Times New Roman"/>
                                            <a:cs typeface="Times New Roman"/>
                                          </a:rPr>
                                          <m:t>(</m:t>
                                        </m:r>
                                        <m:r>
                                          <a:rPr lang="en-GB" sz="1400">
                                            <a:latin typeface="Cambria Math"/>
                                            <a:ea typeface="Times New Roman"/>
                                            <a:cs typeface="Times New Roman"/>
                                          </a:rPr>
                                          <m:t>𝐼𝑆</m:t>
                                        </m:r>
                                        <m:r>
                                          <m:rPr>
                                            <m:sty m:val="p"/>
                                          </m:rPr>
                                          <a:rPr lang="en-US" sz="1400" b="0" i="0">
                                            <a:latin typeface="Cambria Math"/>
                                            <a:ea typeface="Times New Roman"/>
                                            <a:cs typeface="Times New Roman"/>
                                          </a:rPr>
                                          <m:t>G</m:t>
                                        </m:r>
                                      </m:e>
                                      <m:sub>
                                        <m:r>
                                          <a:rPr lang="en-GB" sz="1400">
                                            <a:latin typeface="Cambria Math"/>
                                            <a:ea typeface="Times New Roman"/>
                                            <a:cs typeface="Times New Roman"/>
                                          </a:rPr>
                                          <m:t>𝑖𝑗𝑘</m:t>
                                        </m:r>
                                      </m:sub>
                                      <m:sup>
                                        <m:r>
                                          <a:rPr lang="es-ES" sz="1400">
                                            <a:latin typeface="Cambria Math"/>
                                            <a:ea typeface="Times New Roman"/>
                                            <a:cs typeface="Times New Roman"/>
                                          </a:rPr>
                                          <m:t>+</m:t>
                                        </m:r>
                                      </m:sup>
                                    </m:sSubSup>
                                  </m:e>
                                </m:nary>
                              </m:e>
                            </m:nary>
                          </m:e>
                          <m:sub/>
                          <m:sup/>
                        </m:sSubSup>
                      </m:e>
                    </m:nary>
                    <m:r>
                      <a:rPr lang="en-GB" sz="1400">
                        <a:latin typeface="Cambria Math"/>
                        <a:ea typeface="Times New Roman"/>
                        <a:cs typeface="Times New Roman"/>
                      </a:rPr>
                      <m:t>− </m:t>
                    </m:r>
                    <m:sSubSup>
                      <m:sSubSupPr>
                        <m:ctrlPr>
                          <a:rPr lang="es-ES" sz="1400" i="1">
                            <a:latin typeface="Cambria Math" panose="02040503050406030204" pitchFamily="18" charset="0"/>
                            <a:ea typeface="Times New Roman"/>
                            <a:cs typeface="Times New Roman"/>
                          </a:rPr>
                        </m:ctrlPr>
                      </m:sSubSupPr>
                      <m:e>
                        <m:r>
                          <a:rPr lang="en-GB" sz="1400">
                            <a:latin typeface="Cambria Math"/>
                            <a:ea typeface="Times New Roman"/>
                            <a:cs typeface="Times New Roman"/>
                          </a:rPr>
                          <m:t>𝐼𝑆</m:t>
                        </m:r>
                        <m:r>
                          <m:rPr>
                            <m:sty m:val="p"/>
                          </m:rPr>
                          <a:rPr lang="en-US" sz="1400" b="0" i="0">
                            <a:latin typeface="Cambria Math"/>
                            <a:ea typeface="Times New Roman"/>
                            <a:cs typeface="Times New Roman"/>
                          </a:rPr>
                          <m:t>G</m:t>
                        </m:r>
                      </m:e>
                      <m:sub>
                        <m:r>
                          <a:rPr lang="en-GB" sz="1400">
                            <a:latin typeface="Cambria Math"/>
                            <a:ea typeface="Times New Roman"/>
                            <a:cs typeface="Times New Roman"/>
                          </a:rPr>
                          <m:t>𝑖𝑗𝑘</m:t>
                        </m:r>
                      </m:sub>
                      <m:sup>
                        <m:r>
                          <a:rPr lang="es-ES" sz="1400">
                            <a:latin typeface="Cambria Math"/>
                            <a:ea typeface="Times New Roman"/>
                            <a:cs typeface="Times New Roman"/>
                          </a:rPr>
                          <m:t>−</m:t>
                        </m:r>
                      </m:sup>
                    </m:sSubSup>
                    <m:r>
                      <a:rPr lang="en-GB" sz="1400">
                        <a:latin typeface="Cambria Math"/>
                        <a:ea typeface="Times New Roman"/>
                        <a:cs typeface="Times New Roman"/>
                      </a:rPr>
                      <m:t>)</m:t>
                    </m:r>
                  </m:oMath>
                </m:oMathPara>
              </a14:m>
              <a:endParaRPr lang="es-ES" sz="1400">
                <a:latin typeface="Cambria Math"/>
                <a:ea typeface="Times New Roman"/>
                <a:cs typeface="Times New Roman"/>
              </a:endParaRPr>
            </a:p>
          </xdr:txBody>
        </xdr:sp>
      </mc:Choice>
      <mc:Fallback xmlns="">
        <xdr:sp macro="" textlink="">
          <xdr:nvSpPr>
            <xdr:cNvPr id="19" name="24 Rectángulo">
              <a:extLst>
                <a:ext uri="{FF2B5EF4-FFF2-40B4-BE49-F238E27FC236}">
                  <a16:creationId xmlns:a16="http://schemas.microsoft.com/office/drawing/2014/main" id="{00000000-0008-0000-0200-000013000000}"/>
                </a:ext>
              </a:extLst>
            </xdr:cNvPr>
            <xdr:cNvSpPr/>
          </xdr:nvSpPr>
          <xdr:spPr>
            <a:xfrm>
              <a:off x="7418916" y="7375525"/>
              <a:ext cx="3462471" cy="835423"/>
            </a:xfrm>
            <a:prstGeom prst="rect">
              <a:avLst/>
            </a:prstGeom>
          </xdr:spPr>
          <xdr:txBody>
            <a:bodyPr wrap="square">
              <a:spAutoFit/>
            </a:bodyPr>
            <a:lstStyle>
              <a:defPPr>
                <a:defRPr lang="es-E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/>
              <a:r>
                <a:rPr lang="es-ES" sz="1400" i="0">
                  <a:latin typeface="Cambria Math" panose="02040503050406030204" pitchFamily="18" charset="0"/>
                  <a:cs typeface="Times New Roman"/>
                </a:rPr>
                <a:t>〖</a:t>
              </a:r>
              <a:r>
                <a:rPr lang="en-GB" sz="1400" i="0">
                  <a:latin typeface="Cambria Math"/>
                  <a:ea typeface="Times New Roman"/>
                  <a:cs typeface="Times New Roman"/>
                </a:rPr>
                <a:t>𝑆𝐼𝑆</a:t>
              </a:r>
              <a:r>
                <a:rPr lang="es-ES" sz="1400" i="0">
                  <a:latin typeface="Cambria Math" panose="02040503050406030204" pitchFamily="18" charset="0"/>
                  <a:ea typeface="Times New Roman"/>
                  <a:cs typeface="Times New Roman"/>
                </a:rPr>
                <a:t>〗_</a:t>
              </a:r>
              <a:r>
                <a:rPr lang="en-GB" sz="1400" i="0">
                  <a:latin typeface="Cambria Math"/>
                  <a:ea typeface="Times New Roman"/>
                  <a:cs typeface="Times New Roman"/>
                </a:rPr>
                <a:t>𝑖𝑗=</a:t>
              </a:r>
              <a:r>
                <a:rPr lang="es-ES" sz="1400" i="0">
                  <a:latin typeface="Cambria Math" panose="02040503050406030204" pitchFamily="18" charset="0"/>
                  <a:cs typeface="Times New Roman"/>
                </a:rPr>
                <a:t>∑17</a:t>
              </a:r>
              <a:r>
                <a:rPr lang="en-GB" sz="1400" i="0">
                  <a:latin typeface="Cambria Math" panose="02040503050406030204" pitchFamily="18" charset="0"/>
                  <a:cs typeface="Times New Roman"/>
                </a:rPr>
                <a:t>_</a:t>
              </a:r>
              <a:r>
                <a:rPr lang="en-GB" sz="1400" i="0">
                  <a:latin typeface="Cambria Math"/>
                  <a:ea typeface="Times New Roman"/>
                  <a:cs typeface="Times New Roman"/>
                </a:rPr>
                <a:t>𝑖</a:t>
              </a:r>
              <a:r>
                <a:rPr lang="es-ES" sz="1400" i="0">
                  <a:latin typeface="Cambria Math" panose="02040503050406030204" pitchFamily="18" charset="0"/>
                  <a:ea typeface="Times New Roman"/>
                  <a:cs typeface="Times New Roman"/>
                </a:rPr>
                <a:t>▒∑17</a:t>
              </a:r>
              <a:r>
                <a:rPr lang="en-GB" sz="1400" i="0">
                  <a:latin typeface="Cambria Math" panose="02040503050406030204" pitchFamily="18" charset="0"/>
                  <a:ea typeface="Times New Roman"/>
                  <a:cs typeface="Times New Roman"/>
                </a:rPr>
                <a:t>_</a:t>
              </a:r>
              <a:r>
                <a:rPr lang="en-GB" sz="1400" i="0">
                  <a:latin typeface="Cambria Math"/>
                  <a:ea typeface="Times New Roman"/>
                  <a:cs typeface="Times New Roman"/>
                </a:rPr>
                <a:t>𝑗</a:t>
              </a:r>
              <a:r>
                <a:rPr lang="es-ES" sz="1400" i="0">
                  <a:latin typeface="Cambria Math" panose="02040503050406030204" pitchFamily="18" charset="0"/>
                  <a:ea typeface="Times New Roman"/>
                  <a:cs typeface="Times New Roman"/>
                </a:rPr>
                <a:t>▒∑17</a:t>
              </a:r>
              <a:r>
                <a:rPr lang="en-GB" sz="1400" i="0">
                  <a:latin typeface="Cambria Math" panose="02040503050406030204" pitchFamily="18" charset="0"/>
                  <a:ea typeface="Times New Roman"/>
                  <a:cs typeface="Times New Roman"/>
                </a:rPr>
                <a:t>_</a:t>
              </a:r>
              <a:r>
                <a:rPr lang="en-GB" sz="1400" i="0">
                  <a:latin typeface="Cambria Math"/>
                  <a:ea typeface="Times New Roman"/>
                  <a:cs typeface="Times New Roman"/>
                </a:rPr>
                <a:t>𝑘</a:t>
              </a:r>
              <a:r>
                <a:rPr lang="es-ES" sz="1400" i="0">
                  <a:latin typeface="Cambria Math" panose="02040503050406030204" pitchFamily="18" charset="0"/>
                  <a:ea typeface="Times New Roman"/>
                  <a:cs typeface="Times New Roman"/>
                </a:rPr>
                <a:t>▒〖</a:t>
              </a:r>
              <a:r>
                <a:rPr lang="en-GB" sz="1400" i="0">
                  <a:latin typeface="Cambria Math"/>
                  <a:ea typeface="Times New Roman"/>
                  <a:cs typeface="Times New Roman"/>
                </a:rPr>
                <a:t>(𝐼𝑆</a:t>
              </a:r>
              <a:r>
                <a:rPr lang="en-US" sz="1400" b="0" i="0">
                  <a:latin typeface="Cambria Math"/>
                  <a:ea typeface="Times New Roman"/>
                  <a:cs typeface="Times New Roman"/>
                </a:rPr>
                <a:t>G</a:t>
              </a:r>
              <a:r>
                <a:rPr lang="es-ES" sz="1400" b="0" i="0">
                  <a:latin typeface="Cambria Math" panose="02040503050406030204" pitchFamily="18" charset="0"/>
                  <a:ea typeface="Times New Roman"/>
                  <a:cs typeface="Times New Roman"/>
                </a:rPr>
                <a:t>〗_</a:t>
              </a:r>
              <a:r>
                <a:rPr lang="en-GB" sz="1400" i="0">
                  <a:latin typeface="Cambria Math"/>
                  <a:ea typeface="Times New Roman"/>
                  <a:cs typeface="Times New Roman"/>
                </a:rPr>
                <a:t>𝑖𝑗𝑘</a:t>
              </a:r>
              <a:r>
                <a:rPr lang="en-GB" sz="1400" i="0">
                  <a:latin typeface="Cambria Math" panose="02040503050406030204" pitchFamily="18" charset="0"/>
                  <a:ea typeface="Times New Roman"/>
                  <a:cs typeface="Times New Roman"/>
                </a:rPr>
                <a:t>^</a:t>
              </a:r>
              <a:r>
                <a:rPr lang="es-ES" sz="1400" i="0">
                  <a:latin typeface="Cambria Math"/>
                  <a:ea typeface="Times New Roman"/>
                  <a:cs typeface="Times New Roman"/>
                </a:rPr>
                <a:t>+</a:t>
              </a:r>
              <a:r>
                <a:rPr lang="es-ES" sz="1400" i="0">
                  <a:latin typeface="Cambria Math" panose="02040503050406030204" pitchFamily="18" charset="0"/>
                  <a:ea typeface="Times New Roman"/>
                  <a:cs typeface="Times New Roman"/>
                </a:rPr>
                <a:t> _^  </a:t>
              </a:r>
              <a:r>
                <a:rPr lang="en-GB" sz="1400" i="0">
                  <a:latin typeface="Cambria Math"/>
                  <a:ea typeface="Times New Roman"/>
                  <a:cs typeface="Times New Roman"/>
                </a:rPr>
                <a:t>− </a:t>
              </a:r>
              <a:r>
                <a:rPr lang="es-ES" sz="1400" i="0">
                  <a:latin typeface="Cambria Math" panose="02040503050406030204" pitchFamily="18" charset="0"/>
                  <a:cs typeface="Times New Roman"/>
                </a:rPr>
                <a:t>〖</a:t>
              </a:r>
              <a:r>
                <a:rPr lang="en-GB" sz="1400" i="0">
                  <a:latin typeface="Cambria Math"/>
                  <a:ea typeface="Times New Roman"/>
                  <a:cs typeface="Times New Roman"/>
                </a:rPr>
                <a:t>𝐼𝑆</a:t>
              </a:r>
              <a:r>
                <a:rPr lang="en-US" sz="1400" b="0" i="0">
                  <a:latin typeface="Cambria Math"/>
                  <a:ea typeface="Times New Roman"/>
                  <a:cs typeface="Times New Roman"/>
                </a:rPr>
                <a:t>G</a:t>
              </a:r>
              <a:r>
                <a:rPr lang="es-ES" sz="1400" b="0" i="0">
                  <a:latin typeface="Cambria Math" panose="02040503050406030204" pitchFamily="18" charset="0"/>
                  <a:ea typeface="Times New Roman"/>
                  <a:cs typeface="Times New Roman"/>
                </a:rPr>
                <a:t>〗_</a:t>
              </a:r>
              <a:r>
                <a:rPr lang="en-GB" sz="1400" i="0">
                  <a:latin typeface="Cambria Math"/>
                  <a:ea typeface="Times New Roman"/>
                  <a:cs typeface="Times New Roman"/>
                </a:rPr>
                <a:t>𝑖𝑗𝑘</a:t>
              </a:r>
              <a:r>
                <a:rPr lang="en-GB" sz="1400" i="0">
                  <a:latin typeface="Cambria Math" panose="02040503050406030204" pitchFamily="18" charset="0"/>
                  <a:ea typeface="Times New Roman"/>
                  <a:cs typeface="Times New Roman"/>
                </a:rPr>
                <a:t>^</a:t>
              </a:r>
              <a:r>
                <a:rPr lang="es-ES" sz="1400" i="0">
                  <a:latin typeface="Cambria Math"/>
                  <a:ea typeface="Times New Roman"/>
                  <a:cs typeface="Times New Roman"/>
                </a:rPr>
                <a:t>−</a:t>
              </a:r>
              <a:r>
                <a:rPr lang="en-GB" sz="1400" i="0">
                  <a:latin typeface="Cambria Math"/>
                  <a:ea typeface="Times New Roman"/>
                  <a:cs typeface="Times New Roman"/>
                </a:rPr>
                <a:t>)</a:t>
              </a:r>
              <a:endParaRPr lang="es-ES" sz="1400">
                <a:latin typeface="Cambria Math"/>
                <a:ea typeface="Times New Roman"/>
                <a:cs typeface="Times New Roman"/>
              </a:endParaRPr>
            </a:p>
          </xdr:txBody>
        </xdr:sp>
      </mc:Fallback>
    </mc:AlternateContent>
    <xdr:clientData/>
  </xdr:twoCellAnchor>
  <xdr:twoCellAnchor>
    <xdr:from>
      <xdr:col>7</xdr:col>
      <xdr:colOff>984250</xdr:colOff>
      <xdr:row>40</xdr:row>
      <xdr:rowOff>7409</xdr:rowOff>
    </xdr:from>
    <xdr:to>
      <xdr:col>9</xdr:col>
      <xdr:colOff>830766</xdr:colOff>
      <xdr:row>43</xdr:row>
      <xdr:rowOff>148819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2" name="27 Rectángulo">
              <a:extLst>
                <a:ext uri="{FF2B5EF4-FFF2-40B4-BE49-F238E27FC236}">
                  <a16:creationId xmlns:a16="http://schemas.microsoft.com/office/drawing/2014/main" xmlns="" id="{00000000-0008-0000-0100-000016000000}"/>
                </a:ext>
              </a:extLst>
            </xdr:cNvPr>
            <xdr:cNvSpPr/>
          </xdr:nvSpPr>
          <xdr:spPr>
            <a:xfrm>
              <a:off x="7524750" y="8071909"/>
              <a:ext cx="2397099" cy="744660"/>
            </a:xfrm>
            <a:prstGeom prst="rect">
              <a:avLst/>
            </a:prstGeom>
          </xdr:spPr>
          <xdr:txBody>
            <a:bodyPr wrap="square">
              <a:spAutoFit/>
            </a:bodyPr>
            <a:lstStyle>
              <a:defPPr>
                <a:defRPr lang="es-E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s-ES" sz="1400" i="1">
                            <a:latin typeface="Cambria Math" panose="02040503050406030204" pitchFamily="18" charset="0"/>
                            <a:ea typeface="Times New Roman"/>
                            <a:cs typeface="Times New Roman"/>
                          </a:rPr>
                        </m:ctrlPr>
                      </m:sSubPr>
                      <m:e>
                        <m:r>
                          <a:rPr lang="en-GB" sz="1400">
                            <a:latin typeface="Cambria Math"/>
                            <a:ea typeface="Times New Roman"/>
                            <a:cs typeface="Times New Roman"/>
                          </a:rPr>
                          <m:t>𝐼𝑆𝐺𝑆</m:t>
                        </m:r>
                      </m:e>
                      <m:sub>
                        <m:r>
                          <a:rPr lang="en-GB" sz="1400">
                            <a:latin typeface="Cambria Math"/>
                            <a:ea typeface="Times New Roman"/>
                            <a:cs typeface="Times New Roman"/>
                          </a:rPr>
                          <m:t>𝑖𝑗</m:t>
                        </m:r>
                      </m:sub>
                    </m:sSub>
                    <m:r>
                      <a:rPr lang="en-GB" sz="1400">
                        <a:latin typeface="Cambria Math"/>
                        <a:ea typeface="Times New Roman"/>
                        <a:cs typeface="Times New Roman"/>
                      </a:rPr>
                      <m:t>=</m:t>
                    </m:r>
                    <m:sSub>
                      <m:sSubPr>
                        <m:ctrlPr>
                          <a:rPr lang="es-ES" sz="1400" i="1">
                            <a:latin typeface="Cambria Math" panose="02040503050406030204" pitchFamily="18" charset="0"/>
                            <a:ea typeface="Times New Roman"/>
                            <a:cs typeface="Times New Roman"/>
                          </a:rPr>
                        </m:ctrlPr>
                      </m:sSubPr>
                      <m:e>
                        <m:r>
                          <a:rPr lang="en-GB" sz="1400">
                            <a:latin typeface="Cambria Math"/>
                            <a:ea typeface="Times New Roman"/>
                            <a:cs typeface="Times New Roman"/>
                          </a:rPr>
                          <m:t>𝑊𝑆</m:t>
                        </m:r>
                      </m:e>
                      <m:sub>
                        <m:r>
                          <a:rPr lang="en-GB" sz="1400">
                            <a:latin typeface="Cambria Math"/>
                            <a:ea typeface="Times New Roman"/>
                            <a:cs typeface="Times New Roman"/>
                          </a:rPr>
                          <m:t>𝑗</m:t>
                        </m:r>
                      </m:sub>
                    </m:sSub>
                    <m:nary>
                      <m:naryPr>
                        <m:chr m:val="∑"/>
                        <m:limLoc m:val="undOvr"/>
                        <m:ctrlPr>
                          <a:rPr lang="es-ES" sz="1400" i="1">
                            <a:latin typeface="Cambria Math" panose="02040503050406030204" pitchFamily="18" charset="0"/>
                            <a:ea typeface="Times New Roman"/>
                            <a:cs typeface="Times New Roman"/>
                          </a:rPr>
                        </m:ctrlPr>
                      </m:naryPr>
                      <m:sub>
                        <m:r>
                          <a:rPr lang="en-GB" sz="1400">
                            <a:latin typeface="Cambria Math"/>
                            <a:ea typeface="Times New Roman"/>
                            <a:cs typeface="Times New Roman"/>
                          </a:rPr>
                          <m:t>𝑖</m:t>
                        </m:r>
                      </m:sub>
                      <m:sup/>
                      <m:e>
                        <m:nary>
                          <m:naryPr>
                            <m:chr m:val="∑"/>
                            <m:limLoc m:val="undOvr"/>
                            <m:ctrlPr>
                              <a:rPr lang="es-ES" sz="1400" i="1">
                                <a:latin typeface="Cambria Math" panose="02040503050406030204" pitchFamily="18" charset="0"/>
                                <a:ea typeface="Times New Roman"/>
                                <a:cs typeface="Times New Roman"/>
                              </a:rPr>
                            </m:ctrlPr>
                          </m:naryPr>
                          <m:sub>
                            <m:r>
                              <a:rPr lang="en-GB" sz="1400">
                                <a:latin typeface="Cambria Math"/>
                                <a:ea typeface="Times New Roman"/>
                                <a:cs typeface="Times New Roman"/>
                              </a:rPr>
                              <m:t>𝑗</m:t>
                            </m:r>
                          </m:sub>
                          <m:sup/>
                          <m:e>
                            <m:sSub>
                              <m:sSubPr>
                                <m:ctrlPr>
                                  <a:rPr lang="es-ES" sz="1400" i="1">
                                    <a:latin typeface="Cambria Math" panose="02040503050406030204" pitchFamily="18" charset="0"/>
                                    <a:ea typeface="Times New Roman"/>
                                    <a:cs typeface="Times New Roman"/>
                                  </a:rPr>
                                </m:ctrlPr>
                              </m:sSubPr>
                              <m:e>
                                <m:r>
                                  <a:rPr lang="en-GB" sz="1400">
                                    <a:latin typeface="Cambria Math"/>
                                    <a:ea typeface="Times New Roman"/>
                                    <a:cs typeface="Times New Roman"/>
                                  </a:rPr>
                                  <m:t>𝑆𝐼𝑆</m:t>
                                </m:r>
                              </m:e>
                              <m:sub>
                                <m:r>
                                  <a:rPr lang="en-GB" sz="1400">
                                    <a:latin typeface="Cambria Math"/>
                                    <a:ea typeface="Times New Roman"/>
                                    <a:cs typeface="Times New Roman"/>
                                  </a:rPr>
                                  <m:t>𝑖𝑗</m:t>
                                </m:r>
                              </m:sub>
                            </m:sSub>
                          </m:e>
                        </m:nary>
                      </m:e>
                    </m:nary>
                  </m:oMath>
                </m:oMathPara>
              </a14:m>
              <a:endParaRPr lang="es-ES" sz="1400">
                <a:latin typeface="Cambria Math"/>
                <a:ea typeface="Times New Roman"/>
                <a:cs typeface="Times New Roman"/>
              </a:endParaRPr>
            </a:p>
          </xdr:txBody>
        </xdr:sp>
      </mc:Choice>
      <mc:Fallback xmlns="">
        <xdr:sp macro="" textlink="">
          <xdr:nvSpPr>
            <xdr:cNvPr id="22" name="27 Rectángulo">
              <a:extLst>
                <a:ext uri="{FF2B5EF4-FFF2-40B4-BE49-F238E27FC236}">
                  <a16:creationId xmlns:a16="http://schemas.microsoft.com/office/drawing/2014/main" id="{00000000-0008-0000-0200-000016000000}"/>
                </a:ext>
              </a:extLst>
            </xdr:cNvPr>
            <xdr:cNvSpPr/>
          </xdr:nvSpPr>
          <xdr:spPr>
            <a:xfrm>
              <a:off x="7524750" y="8071909"/>
              <a:ext cx="2397099" cy="744660"/>
            </a:xfrm>
            <a:prstGeom prst="rect">
              <a:avLst/>
            </a:prstGeom>
          </xdr:spPr>
          <xdr:txBody>
            <a:bodyPr wrap="square">
              <a:spAutoFit/>
            </a:bodyPr>
            <a:lstStyle>
              <a:defPPr>
                <a:defRPr lang="es-E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/>
              <a:r>
                <a:rPr lang="es-ES" sz="1400" i="0">
                  <a:latin typeface="Cambria Math" panose="02040503050406030204" pitchFamily="18" charset="0"/>
                  <a:cs typeface="Times New Roman"/>
                </a:rPr>
                <a:t>〖</a:t>
              </a:r>
              <a:r>
                <a:rPr lang="en-GB" sz="1400" i="0">
                  <a:latin typeface="Cambria Math"/>
                  <a:ea typeface="Times New Roman"/>
                  <a:cs typeface="Times New Roman"/>
                </a:rPr>
                <a:t>𝐼𝑆𝐺𝑆</a:t>
              </a:r>
              <a:r>
                <a:rPr lang="es-ES" sz="1400" i="0">
                  <a:latin typeface="Cambria Math" panose="02040503050406030204" pitchFamily="18" charset="0"/>
                  <a:ea typeface="Times New Roman"/>
                  <a:cs typeface="Times New Roman"/>
                </a:rPr>
                <a:t>〗_</a:t>
              </a:r>
              <a:r>
                <a:rPr lang="en-GB" sz="1400" i="0">
                  <a:latin typeface="Cambria Math"/>
                  <a:ea typeface="Times New Roman"/>
                  <a:cs typeface="Times New Roman"/>
                </a:rPr>
                <a:t>𝑖𝑗=</a:t>
              </a:r>
              <a:r>
                <a:rPr lang="es-ES" sz="1400" i="0">
                  <a:latin typeface="Cambria Math" panose="02040503050406030204" pitchFamily="18" charset="0"/>
                  <a:cs typeface="Times New Roman"/>
                </a:rPr>
                <a:t>〖</a:t>
              </a:r>
              <a:r>
                <a:rPr lang="en-GB" sz="1400" i="0">
                  <a:latin typeface="Cambria Math"/>
                  <a:ea typeface="Times New Roman"/>
                  <a:cs typeface="Times New Roman"/>
                </a:rPr>
                <a:t>𝑊𝑆</a:t>
              </a:r>
              <a:r>
                <a:rPr lang="es-ES" sz="1400" i="0">
                  <a:latin typeface="Cambria Math" panose="02040503050406030204" pitchFamily="18" charset="0"/>
                  <a:ea typeface="Times New Roman"/>
                  <a:cs typeface="Times New Roman"/>
                </a:rPr>
                <a:t>〗_</a:t>
              </a:r>
              <a:r>
                <a:rPr lang="en-GB" sz="1400" i="0">
                  <a:latin typeface="Cambria Math"/>
                  <a:ea typeface="Times New Roman"/>
                  <a:cs typeface="Times New Roman"/>
                </a:rPr>
                <a:t>𝑗</a:t>
              </a:r>
              <a:r>
                <a:rPr lang="es-ES" sz="1400" i="0">
                  <a:latin typeface="Cambria Math" panose="02040503050406030204" pitchFamily="18" charset="0"/>
                  <a:ea typeface="Times New Roman"/>
                  <a:cs typeface="Times New Roman"/>
                </a:rPr>
                <a:t> </a:t>
              </a:r>
              <a:r>
                <a:rPr lang="es-ES" sz="1400" i="0">
                  <a:latin typeface="Cambria Math" panose="02040503050406030204" pitchFamily="18" charset="0"/>
                  <a:cs typeface="Times New Roman"/>
                </a:rPr>
                <a:t>∑17</a:t>
              </a:r>
              <a:r>
                <a:rPr lang="en-GB" sz="1400" i="0">
                  <a:latin typeface="Cambria Math" panose="02040503050406030204" pitchFamily="18" charset="0"/>
                  <a:cs typeface="Times New Roman"/>
                </a:rPr>
                <a:t>_</a:t>
              </a:r>
              <a:r>
                <a:rPr lang="en-GB" sz="1400" i="0">
                  <a:latin typeface="Cambria Math"/>
                  <a:ea typeface="Times New Roman"/>
                  <a:cs typeface="Times New Roman"/>
                </a:rPr>
                <a:t>𝑖</a:t>
              </a:r>
              <a:r>
                <a:rPr lang="en-GB" sz="1400" i="0">
                  <a:latin typeface="Cambria Math" panose="02040503050406030204" pitchFamily="18" charset="0"/>
                  <a:ea typeface="Times New Roman"/>
                  <a:cs typeface="Times New Roman"/>
                </a:rPr>
                <a:t>▒</a:t>
              </a:r>
              <a:r>
                <a:rPr lang="es-ES" sz="1400" i="0">
                  <a:latin typeface="Cambria Math" panose="02040503050406030204" pitchFamily="18" charset="0"/>
                  <a:ea typeface="Times New Roman"/>
                  <a:cs typeface="Times New Roman"/>
                </a:rPr>
                <a:t>∑17</a:t>
              </a:r>
              <a:r>
                <a:rPr lang="en-GB" sz="1400" i="0">
                  <a:latin typeface="Cambria Math" panose="02040503050406030204" pitchFamily="18" charset="0"/>
                  <a:ea typeface="Times New Roman"/>
                  <a:cs typeface="Times New Roman"/>
                </a:rPr>
                <a:t>_</a:t>
              </a:r>
              <a:r>
                <a:rPr lang="en-GB" sz="1400" i="0">
                  <a:latin typeface="Cambria Math"/>
                  <a:ea typeface="Times New Roman"/>
                  <a:cs typeface="Times New Roman"/>
                </a:rPr>
                <a:t>𝑗</a:t>
              </a:r>
              <a:r>
                <a:rPr lang="en-GB" sz="1400" i="0">
                  <a:latin typeface="Cambria Math" panose="02040503050406030204" pitchFamily="18" charset="0"/>
                  <a:ea typeface="Times New Roman"/>
                  <a:cs typeface="Times New Roman"/>
                </a:rPr>
                <a:t>▒</a:t>
              </a:r>
              <a:r>
                <a:rPr lang="es-ES" sz="1400" i="0">
                  <a:latin typeface="Cambria Math" panose="02040503050406030204" pitchFamily="18" charset="0"/>
                  <a:ea typeface="Times New Roman"/>
                  <a:cs typeface="Times New Roman"/>
                </a:rPr>
                <a:t>〖</a:t>
              </a:r>
              <a:r>
                <a:rPr lang="en-GB" sz="1400" i="0">
                  <a:latin typeface="Cambria Math"/>
                  <a:ea typeface="Times New Roman"/>
                  <a:cs typeface="Times New Roman"/>
                </a:rPr>
                <a:t>𝑆𝐼𝑆</a:t>
              </a:r>
              <a:r>
                <a:rPr lang="es-ES" sz="1400" i="0">
                  <a:latin typeface="Cambria Math" panose="02040503050406030204" pitchFamily="18" charset="0"/>
                  <a:ea typeface="Times New Roman"/>
                  <a:cs typeface="Times New Roman"/>
                </a:rPr>
                <a:t>〗_</a:t>
              </a:r>
              <a:r>
                <a:rPr lang="en-GB" sz="1400" i="0">
                  <a:latin typeface="Cambria Math"/>
                  <a:ea typeface="Times New Roman"/>
                  <a:cs typeface="Times New Roman"/>
                </a:rPr>
                <a:t>𝑖𝑗</a:t>
              </a:r>
              <a:r>
                <a:rPr lang="en-GB" sz="1400" i="0">
                  <a:latin typeface="Cambria Math" panose="02040503050406030204" pitchFamily="18" charset="0"/>
                  <a:ea typeface="Times New Roman"/>
                  <a:cs typeface="Times New Roman"/>
                </a:rPr>
                <a:t> </a:t>
              </a:r>
              <a:endParaRPr lang="es-ES" sz="1400">
                <a:latin typeface="Cambria Math"/>
                <a:ea typeface="Times New Roman"/>
                <a:cs typeface="Times New Roman"/>
              </a:endParaRPr>
            </a:p>
          </xdr:txBody>
        </xdr:sp>
      </mc:Fallback>
    </mc:AlternateContent>
    <xdr:clientData/>
  </xdr:twoCellAnchor>
  <xdr:twoCellAnchor>
    <xdr:from>
      <xdr:col>7</xdr:col>
      <xdr:colOff>1097492</xdr:colOff>
      <xdr:row>43</xdr:row>
      <xdr:rowOff>158750</xdr:rowOff>
    </xdr:from>
    <xdr:to>
      <xdr:col>9</xdr:col>
      <xdr:colOff>116057</xdr:colOff>
      <xdr:row>47</xdr:row>
      <xdr:rowOff>100135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3" name="3 Rectángulo">
              <a:extLst>
                <a:ext uri="{FF2B5EF4-FFF2-40B4-BE49-F238E27FC236}">
                  <a16:creationId xmlns:a16="http://schemas.microsoft.com/office/drawing/2014/main" xmlns="" id="{00000000-0008-0000-0100-000017000000}"/>
                </a:ext>
              </a:extLst>
            </xdr:cNvPr>
            <xdr:cNvSpPr/>
          </xdr:nvSpPr>
          <xdr:spPr>
            <a:xfrm>
              <a:off x="7637992" y="8826500"/>
              <a:ext cx="1569148" cy="745718"/>
            </a:xfrm>
            <a:prstGeom prst="rect">
              <a:avLst/>
            </a:prstGeom>
          </xdr:spPr>
          <xdr:txBody>
            <a:bodyPr wrap="square">
              <a:spAutoFit/>
            </a:bodyPr>
            <a:lstStyle>
              <a:defPPr>
                <a:defRPr lang="es-E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s-ES" sz="1400" i="1">
                            <a:latin typeface="Cambria Math" panose="02040503050406030204" pitchFamily="18" charset="0"/>
                            <a:ea typeface="Times New Roman"/>
                            <a:cs typeface="Times New Roman"/>
                          </a:rPr>
                        </m:ctrlPr>
                      </m:sSubPr>
                      <m:e>
                        <m:r>
                          <a:rPr lang="en-GB" sz="1400">
                            <a:latin typeface="Cambria Math"/>
                            <a:ea typeface="Times New Roman"/>
                            <a:cs typeface="Times New Roman"/>
                          </a:rPr>
                          <m:t>𝑆𝐼𝑆</m:t>
                        </m:r>
                      </m:e>
                      <m:sub>
                        <m:r>
                          <a:rPr lang="en-GB" sz="1400">
                            <a:latin typeface="Cambria Math"/>
                            <a:ea typeface="Times New Roman"/>
                            <a:cs typeface="Times New Roman"/>
                          </a:rPr>
                          <m:t>𝑖</m:t>
                        </m:r>
                      </m:sub>
                    </m:sSub>
                    <m:r>
                      <a:rPr lang="en-GB" sz="1400">
                        <a:latin typeface="Cambria Math"/>
                        <a:ea typeface="Times New Roman"/>
                        <a:cs typeface="Times New Roman"/>
                      </a:rPr>
                      <m:t>=</m:t>
                    </m:r>
                    <m:nary>
                      <m:naryPr>
                        <m:chr m:val="∑"/>
                        <m:limLoc m:val="undOvr"/>
                        <m:ctrlPr>
                          <a:rPr lang="es-ES" sz="1400" i="1">
                            <a:latin typeface="Cambria Math" panose="02040503050406030204" pitchFamily="18" charset="0"/>
                            <a:ea typeface="Times New Roman"/>
                            <a:cs typeface="Times New Roman"/>
                          </a:rPr>
                        </m:ctrlPr>
                      </m:naryPr>
                      <m:sub>
                        <m:r>
                          <a:rPr lang="en-GB" sz="1400">
                            <a:latin typeface="Cambria Math"/>
                            <a:ea typeface="Times New Roman"/>
                            <a:cs typeface="Times New Roman"/>
                          </a:rPr>
                          <m:t>𝑗</m:t>
                        </m:r>
                      </m:sub>
                      <m:sup/>
                      <m:e>
                        <m:sSub>
                          <m:sSubPr>
                            <m:ctrlPr>
                              <a:rPr lang="es-ES" sz="1400" i="1">
                                <a:latin typeface="Cambria Math" panose="02040503050406030204" pitchFamily="18" charset="0"/>
                                <a:ea typeface="Times New Roman"/>
                                <a:cs typeface="Times New Roman"/>
                              </a:rPr>
                            </m:ctrlPr>
                          </m:sSubPr>
                          <m:e>
                            <m:r>
                              <a:rPr lang="en-GB" sz="1400">
                                <a:latin typeface="Cambria Math"/>
                                <a:ea typeface="Times New Roman"/>
                                <a:cs typeface="Times New Roman"/>
                              </a:rPr>
                              <m:t>𝐼𝑆𝐺𝑆</m:t>
                            </m:r>
                          </m:e>
                          <m:sub>
                            <m:r>
                              <a:rPr lang="en-GB" sz="1400">
                                <a:latin typeface="Cambria Math"/>
                                <a:ea typeface="Times New Roman"/>
                                <a:cs typeface="Times New Roman"/>
                              </a:rPr>
                              <m:t>𝑖𝑗</m:t>
                            </m:r>
                          </m:sub>
                        </m:sSub>
                      </m:e>
                    </m:nary>
                  </m:oMath>
                </m:oMathPara>
              </a14:m>
              <a:endParaRPr lang="es-ES" sz="1400">
                <a:latin typeface="Cambria Math"/>
                <a:ea typeface="Times New Roman"/>
                <a:cs typeface="Times New Roman"/>
              </a:endParaRPr>
            </a:p>
          </xdr:txBody>
        </xdr:sp>
      </mc:Choice>
      <mc:Fallback xmlns="">
        <xdr:sp macro="" textlink="">
          <xdr:nvSpPr>
            <xdr:cNvPr id="23" name="3 Rectángulo">
              <a:extLst>
                <a:ext uri="{FF2B5EF4-FFF2-40B4-BE49-F238E27FC236}">
                  <a16:creationId xmlns:a16="http://schemas.microsoft.com/office/drawing/2014/main" id="{00000000-0008-0000-0200-000017000000}"/>
                </a:ext>
              </a:extLst>
            </xdr:cNvPr>
            <xdr:cNvSpPr/>
          </xdr:nvSpPr>
          <xdr:spPr>
            <a:xfrm>
              <a:off x="7637992" y="8826500"/>
              <a:ext cx="1569148" cy="745718"/>
            </a:xfrm>
            <a:prstGeom prst="rect">
              <a:avLst/>
            </a:prstGeom>
          </xdr:spPr>
          <xdr:txBody>
            <a:bodyPr wrap="square">
              <a:spAutoFit/>
            </a:bodyPr>
            <a:lstStyle>
              <a:defPPr>
                <a:defRPr lang="es-E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/>
              <a:r>
                <a:rPr lang="es-ES" sz="1400" i="0">
                  <a:latin typeface="Cambria Math" panose="02040503050406030204" pitchFamily="18" charset="0"/>
                  <a:cs typeface="Times New Roman"/>
                </a:rPr>
                <a:t>〖</a:t>
              </a:r>
              <a:r>
                <a:rPr lang="en-GB" sz="1400" i="0">
                  <a:latin typeface="Cambria Math"/>
                  <a:ea typeface="Times New Roman"/>
                  <a:cs typeface="Times New Roman"/>
                </a:rPr>
                <a:t>𝑆𝐼𝑆</a:t>
              </a:r>
              <a:r>
                <a:rPr lang="es-ES" sz="1400" i="0">
                  <a:latin typeface="Cambria Math" panose="02040503050406030204" pitchFamily="18" charset="0"/>
                  <a:ea typeface="Times New Roman"/>
                  <a:cs typeface="Times New Roman"/>
                </a:rPr>
                <a:t>〗_</a:t>
              </a:r>
              <a:r>
                <a:rPr lang="en-GB" sz="1400" i="0">
                  <a:latin typeface="Cambria Math"/>
                  <a:ea typeface="Times New Roman"/>
                  <a:cs typeface="Times New Roman"/>
                </a:rPr>
                <a:t>𝑖=</a:t>
              </a:r>
              <a:r>
                <a:rPr lang="es-ES" sz="1400" i="0">
                  <a:latin typeface="Cambria Math" panose="02040503050406030204" pitchFamily="18" charset="0"/>
                  <a:cs typeface="Times New Roman"/>
                </a:rPr>
                <a:t>∑17</a:t>
              </a:r>
              <a:r>
                <a:rPr lang="en-GB" sz="1400" i="0">
                  <a:latin typeface="Cambria Math" panose="02040503050406030204" pitchFamily="18" charset="0"/>
                  <a:cs typeface="Times New Roman"/>
                </a:rPr>
                <a:t>_</a:t>
              </a:r>
              <a:r>
                <a:rPr lang="en-GB" sz="1400" i="0">
                  <a:latin typeface="Cambria Math"/>
                  <a:ea typeface="Times New Roman"/>
                  <a:cs typeface="Times New Roman"/>
                </a:rPr>
                <a:t>𝑗</a:t>
              </a:r>
              <a:r>
                <a:rPr lang="en-GB" sz="1400" i="0">
                  <a:latin typeface="Cambria Math" panose="02040503050406030204" pitchFamily="18" charset="0"/>
                  <a:ea typeface="Times New Roman"/>
                  <a:cs typeface="Times New Roman"/>
                </a:rPr>
                <a:t>▒</a:t>
              </a:r>
              <a:r>
                <a:rPr lang="es-ES" sz="1400" i="0">
                  <a:latin typeface="Cambria Math" panose="02040503050406030204" pitchFamily="18" charset="0"/>
                  <a:ea typeface="Times New Roman"/>
                  <a:cs typeface="Times New Roman"/>
                </a:rPr>
                <a:t>〖</a:t>
              </a:r>
              <a:r>
                <a:rPr lang="en-GB" sz="1400" i="0">
                  <a:latin typeface="Cambria Math"/>
                  <a:ea typeface="Times New Roman"/>
                  <a:cs typeface="Times New Roman"/>
                </a:rPr>
                <a:t>𝐼𝑆𝐺𝑆</a:t>
              </a:r>
              <a:r>
                <a:rPr lang="es-ES" sz="1400" i="0">
                  <a:latin typeface="Cambria Math" panose="02040503050406030204" pitchFamily="18" charset="0"/>
                  <a:ea typeface="Times New Roman"/>
                  <a:cs typeface="Times New Roman"/>
                </a:rPr>
                <a:t>〗_</a:t>
              </a:r>
              <a:r>
                <a:rPr lang="en-GB" sz="1400" i="0">
                  <a:latin typeface="Cambria Math"/>
                  <a:ea typeface="Times New Roman"/>
                  <a:cs typeface="Times New Roman"/>
                </a:rPr>
                <a:t>𝑖𝑗</a:t>
              </a:r>
              <a:r>
                <a:rPr lang="en-GB" sz="1400" i="0">
                  <a:latin typeface="Cambria Math" panose="02040503050406030204" pitchFamily="18" charset="0"/>
                  <a:ea typeface="Times New Roman"/>
                  <a:cs typeface="Times New Roman"/>
                </a:rPr>
                <a:t> </a:t>
              </a:r>
              <a:endParaRPr lang="es-ES" sz="1400">
                <a:latin typeface="Cambria Math"/>
                <a:ea typeface="Times New Roman"/>
                <a:cs typeface="Times New Roman"/>
              </a:endParaRPr>
            </a:p>
          </xdr:txBody>
        </xdr:sp>
      </mc:Fallback>
    </mc:AlternateContent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619724</xdr:colOff>
      <xdr:row>0</xdr:row>
      <xdr:rowOff>0</xdr:rowOff>
    </xdr:from>
    <xdr:to>
      <xdr:col>15</xdr:col>
      <xdr:colOff>545726</xdr:colOff>
      <xdr:row>39</xdr:row>
      <xdr:rowOff>67236</xdr:rowOff>
    </xdr:to>
    <xdr:pic>
      <xdr:nvPicPr>
        <xdr:cNvPr id="80" name="79 Imagen">
          <a:extLst>
            <a:ext uri="{FF2B5EF4-FFF2-40B4-BE49-F238E27FC236}">
              <a16:creationId xmlns:a16="http://schemas.microsoft.com/office/drawing/2014/main" xmlns="" id="{00000000-0008-0000-0200-00005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724" y="0"/>
          <a:ext cx="8532120" cy="81242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9526</xdr:rowOff>
    </xdr:from>
    <xdr:to>
      <xdr:col>7</xdr:col>
      <xdr:colOff>595600</xdr:colOff>
      <xdr:row>39</xdr:row>
      <xdr:rowOff>70037</xdr:rowOff>
    </xdr:to>
    <xdr:sp macro="" textlink="">
      <xdr:nvSpPr>
        <xdr:cNvPr id="82" name="Triângulo retângulo 3">
          <a:extLst>
            <a:ext uri="{FF2B5EF4-FFF2-40B4-BE49-F238E27FC236}">
              <a16:creationId xmlns:a16="http://schemas.microsoft.com/office/drawing/2014/main" xmlns="" id="{00000000-0008-0000-0200-000052000000}"/>
            </a:ext>
          </a:extLst>
        </xdr:cNvPr>
        <xdr:cNvSpPr>
          <a:spLocks/>
        </xdr:cNvSpPr>
      </xdr:nvSpPr>
      <xdr:spPr bwMode="auto">
        <a:xfrm>
          <a:off x="0" y="9526"/>
          <a:ext cx="4677743" cy="8020690"/>
        </a:xfrm>
        <a:custGeom>
          <a:avLst/>
          <a:gdLst>
            <a:gd name="T0" fmla="*/ 29423 w 4639719"/>
            <a:gd name="T1" fmla="*/ 11091391 h 7007051"/>
            <a:gd name="T2" fmla="*/ 29423 w 4639719"/>
            <a:gd name="T3" fmla="*/ 4141713 h 7007051"/>
            <a:gd name="T4" fmla="*/ 9121 w 4639719"/>
            <a:gd name="T5" fmla="*/ 1966443 h 7007051"/>
            <a:gd name="T6" fmla="*/ 9121 w 4639719"/>
            <a:gd name="T7" fmla="*/ 27581 h 7007051"/>
            <a:gd name="T8" fmla="*/ 3722177 w 4639719"/>
            <a:gd name="T9" fmla="*/ 0 h 7007051"/>
            <a:gd name="T10" fmla="*/ 3749665 w 4639719"/>
            <a:gd name="T11" fmla="*/ 966146 h 7007051"/>
            <a:gd name="T12" fmla="*/ 3674632 w 4639719"/>
            <a:gd name="T13" fmla="*/ 1669309 h 7007051"/>
            <a:gd name="T14" fmla="*/ 3450726 w 4639719"/>
            <a:gd name="T15" fmla="*/ 2419515 h 7007051"/>
            <a:gd name="T16" fmla="*/ 2101949 w 4639719"/>
            <a:gd name="T17" fmla="*/ 3166161 h 7007051"/>
            <a:gd name="T18" fmla="*/ 2227390 w 4639719"/>
            <a:gd name="T19" fmla="*/ 4258305 h 7007051"/>
            <a:gd name="T20" fmla="*/ 2581167 w 4639719"/>
            <a:gd name="T21" fmla="*/ 4516245 h 7007051"/>
            <a:gd name="T22" fmla="*/ 3083502 w 4639719"/>
            <a:gd name="T23" fmla="*/ 4580854 h 7007051"/>
            <a:gd name="T24" fmla="*/ 3268150 w 4639719"/>
            <a:gd name="T25" fmla="*/ 4845756 h 7007051"/>
            <a:gd name="T26" fmla="*/ 3832754 w 4639719"/>
            <a:gd name="T27" fmla="*/ 4789411 h 7007051"/>
            <a:gd name="T28" fmla="*/ 4166456 w 4639719"/>
            <a:gd name="T29" fmla="*/ 4945556 h 7007051"/>
            <a:gd name="T30" fmla="*/ 5294507 w 4639719"/>
            <a:gd name="T31" fmla="*/ 4889660 h 7007051"/>
            <a:gd name="T32" fmla="*/ 5695930 w 4639719"/>
            <a:gd name="T33" fmla="*/ 5301239 h 7007051"/>
            <a:gd name="T34" fmla="*/ 6549677 w 4639719"/>
            <a:gd name="T35" fmla="*/ 5521904 h 7007051"/>
            <a:gd name="T36" fmla="*/ 7653377 w 4639719"/>
            <a:gd name="T37" fmla="*/ 5934681 h 7007051"/>
            <a:gd name="T38" fmla="*/ 7716984 w 4639719"/>
            <a:gd name="T39" fmla="*/ 6374473 h 7007051"/>
            <a:gd name="T40" fmla="*/ 8236343 w 4639719"/>
            <a:gd name="T41" fmla="*/ 6644482 h 7007051"/>
            <a:gd name="T42" fmla="*/ 8123667 w 4639719"/>
            <a:gd name="T43" fmla="*/ 7078358 h 7007051"/>
            <a:gd name="T44" fmla="*/ 7908301 w 4639719"/>
            <a:gd name="T45" fmla="*/ 7393932 h 7007051"/>
            <a:gd name="T46" fmla="*/ 8364987 w 4639719"/>
            <a:gd name="T47" fmla="*/ 7466995 h 7007051"/>
            <a:gd name="T48" fmla="*/ 8542149 w 4639719"/>
            <a:gd name="T49" fmla="*/ 7520893 h 7007051"/>
            <a:gd name="T50" fmla="*/ 8481180 w 4639719"/>
            <a:gd name="T51" fmla="*/ 8004103 h 7007051"/>
            <a:gd name="T52" fmla="*/ 9311450 w 4639719"/>
            <a:gd name="T53" fmla="*/ 8216592 h 7007051"/>
            <a:gd name="T54" fmla="*/ 9389387 w 4639719"/>
            <a:gd name="T55" fmla="*/ 8538203 h 7007051"/>
            <a:gd name="T56" fmla="*/ 9833782 w 4639719"/>
            <a:gd name="T57" fmla="*/ 8566815 h 7007051"/>
            <a:gd name="T58" fmla="*/ 9814297 w 4639719"/>
            <a:gd name="T59" fmla="*/ 8870940 h 7007051"/>
            <a:gd name="T60" fmla="*/ 10390677 w 4639719"/>
            <a:gd name="T61" fmla="*/ 8866813 h 7007051"/>
            <a:gd name="T62" fmla="*/ 10401877 w 4639719"/>
            <a:gd name="T63" fmla="*/ 9109936 h 7007051"/>
            <a:gd name="T64" fmla="*/ 9817695 w 4639719"/>
            <a:gd name="T65" fmla="*/ 9205806 h 7007051"/>
            <a:gd name="T66" fmla="*/ 8806196 w 4639719"/>
            <a:gd name="T67" fmla="*/ 10126078 h 7007051"/>
            <a:gd name="T68" fmla="*/ 10157781 w 4639719"/>
            <a:gd name="T69" fmla="*/ 11114176 h 7007051"/>
            <a:gd name="T70" fmla="*/ 29423 w 4639719"/>
            <a:gd name="T71" fmla="*/ 11091391 h 7007051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connsiteX0" fmla="*/ 12900 w 4639719"/>
            <a:gd name="connsiteY0" fmla="*/ 6992686 h 7007051"/>
            <a:gd name="connsiteX1" fmla="*/ 12900 w 4639719"/>
            <a:gd name="connsiteY1" fmla="*/ 2611187 h 7007051"/>
            <a:gd name="connsiteX2" fmla="*/ 4000 w 4639719"/>
            <a:gd name="connsiteY2" fmla="*/ 1239764 h 7007051"/>
            <a:gd name="connsiteX3" fmla="*/ 4000 w 4639719"/>
            <a:gd name="connsiteY3" fmla="*/ 17389 h 7007051"/>
            <a:gd name="connsiteX4" fmla="*/ 1632181 w 4639719"/>
            <a:gd name="connsiteY4" fmla="*/ 0 h 7007051"/>
            <a:gd name="connsiteX5" fmla="*/ 1644235 w 4639719"/>
            <a:gd name="connsiteY5" fmla="*/ 609117 h 7007051"/>
            <a:gd name="connsiteX6" fmla="*/ 1611332 w 4639719"/>
            <a:gd name="connsiteY6" fmla="*/ 1052434 h 7007051"/>
            <a:gd name="connsiteX7" fmla="*/ 1513149 w 4639719"/>
            <a:gd name="connsiteY7" fmla="*/ 1525409 h 7007051"/>
            <a:gd name="connsiteX8" fmla="*/ 921708 w 4639719"/>
            <a:gd name="connsiteY8" fmla="*/ 1996139 h 7007051"/>
            <a:gd name="connsiteX9" fmla="*/ 976715 w 4639719"/>
            <a:gd name="connsiteY9" fmla="*/ 2684695 h 7007051"/>
            <a:gd name="connsiteX10" fmla="*/ 1131846 w 4639719"/>
            <a:gd name="connsiteY10" fmla="*/ 2847314 h 7007051"/>
            <a:gd name="connsiteX11" fmla="*/ 1352121 w 4639719"/>
            <a:gd name="connsiteY11" fmla="*/ 2888048 h 7007051"/>
            <a:gd name="connsiteX12" fmla="*/ 1433091 w 4639719"/>
            <a:gd name="connsiteY12" fmla="*/ 3055058 h 7007051"/>
            <a:gd name="connsiteX13" fmla="*/ 1680669 w 4639719"/>
            <a:gd name="connsiteY13" fmla="*/ 3019536 h 7007051"/>
            <a:gd name="connsiteX14" fmla="*/ 1826999 w 4639719"/>
            <a:gd name="connsiteY14" fmla="*/ 3117980 h 7007051"/>
            <a:gd name="connsiteX15" fmla="*/ 2321652 w 4639719"/>
            <a:gd name="connsiteY15" fmla="*/ 3082738 h 7007051"/>
            <a:gd name="connsiteX16" fmla="*/ 2497674 w 4639719"/>
            <a:gd name="connsiteY16" fmla="*/ 3342223 h 7007051"/>
            <a:gd name="connsiteX17" fmla="*/ 2872045 w 4639719"/>
            <a:gd name="connsiteY17" fmla="*/ 3481342 h 7007051"/>
            <a:gd name="connsiteX18" fmla="*/ 3356020 w 4639719"/>
            <a:gd name="connsiteY18" fmla="*/ 3741583 h 7007051"/>
            <a:gd name="connsiteX19" fmla="*/ 3383911 w 4639719"/>
            <a:gd name="connsiteY19" fmla="*/ 4018854 h 7007051"/>
            <a:gd name="connsiteX20" fmla="*/ 3611651 w 4639719"/>
            <a:gd name="connsiteY20" fmla="*/ 4189085 h 7007051"/>
            <a:gd name="connsiteX21" fmla="*/ 3562243 w 4639719"/>
            <a:gd name="connsiteY21" fmla="*/ 4462626 h 7007051"/>
            <a:gd name="connsiteX22" fmla="*/ 3467805 w 4639719"/>
            <a:gd name="connsiteY22" fmla="*/ 4661583 h 7007051"/>
            <a:gd name="connsiteX23" fmla="*/ 3668060 w 4639719"/>
            <a:gd name="connsiteY23" fmla="*/ 4707646 h 7007051"/>
            <a:gd name="connsiteX24" fmla="*/ 3745746 w 4639719"/>
            <a:gd name="connsiteY24" fmla="*/ 4741627 h 7007051"/>
            <a:gd name="connsiteX25" fmla="*/ 3719012 w 4639719"/>
            <a:gd name="connsiteY25" fmla="*/ 5046272 h 7007051"/>
            <a:gd name="connsiteX26" fmla="*/ 4083088 w 4639719"/>
            <a:gd name="connsiteY26" fmla="*/ 5180238 h 7007051"/>
            <a:gd name="connsiteX27" fmla="*/ 4117263 w 4639719"/>
            <a:gd name="connsiteY27" fmla="*/ 5383001 h 7007051"/>
            <a:gd name="connsiteX28" fmla="*/ 4312130 w 4639719"/>
            <a:gd name="connsiteY28" fmla="*/ 5401041 h 7007051"/>
            <a:gd name="connsiteX29" fmla="*/ 4303586 w 4639719"/>
            <a:gd name="connsiteY29" fmla="*/ 5592777 h 7007051"/>
            <a:gd name="connsiteX30" fmla="*/ 4556330 w 4639719"/>
            <a:gd name="connsiteY30" fmla="*/ 5590177 h 7007051"/>
            <a:gd name="connsiteX31" fmla="*/ 4516414 w 4639719"/>
            <a:gd name="connsiteY31" fmla="*/ 5753106 h 7007051"/>
            <a:gd name="connsiteX32" fmla="*/ 4305076 w 4639719"/>
            <a:gd name="connsiteY32" fmla="*/ 5803898 h 7007051"/>
            <a:gd name="connsiteX33" fmla="*/ 3861533 w 4639719"/>
            <a:gd name="connsiteY33" fmla="*/ 6384094 h 7007051"/>
            <a:gd name="connsiteX34" fmla="*/ 4454205 w 4639719"/>
            <a:gd name="connsiteY34" fmla="*/ 7007051 h 7007051"/>
            <a:gd name="connsiteX35" fmla="*/ 12900 w 4639719"/>
            <a:gd name="connsiteY35" fmla="*/ 6992686 h 7007051"/>
            <a:gd name="connsiteX0" fmla="*/ 12900 w 4639719"/>
            <a:gd name="connsiteY0" fmla="*/ 6992686 h 7007051"/>
            <a:gd name="connsiteX1" fmla="*/ 12900 w 4639719"/>
            <a:gd name="connsiteY1" fmla="*/ 2611187 h 7007051"/>
            <a:gd name="connsiteX2" fmla="*/ 4000 w 4639719"/>
            <a:gd name="connsiteY2" fmla="*/ 1239764 h 7007051"/>
            <a:gd name="connsiteX3" fmla="*/ 4000 w 4639719"/>
            <a:gd name="connsiteY3" fmla="*/ 17389 h 7007051"/>
            <a:gd name="connsiteX4" fmla="*/ 1632181 w 4639719"/>
            <a:gd name="connsiteY4" fmla="*/ 0 h 7007051"/>
            <a:gd name="connsiteX5" fmla="*/ 1644235 w 4639719"/>
            <a:gd name="connsiteY5" fmla="*/ 609117 h 7007051"/>
            <a:gd name="connsiteX6" fmla="*/ 1611332 w 4639719"/>
            <a:gd name="connsiteY6" fmla="*/ 1052434 h 7007051"/>
            <a:gd name="connsiteX7" fmla="*/ 1513149 w 4639719"/>
            <a:gd name="connsiteY7" fmla="*/ 1525409 h 7007051"/>
            <a:gd name="connsiteX8" fmla="*/ 921708 w 4639719"/>
            <a:gd name="connsiteY8" fmla="*/ 1996139 h 7007051"/>
            <a:gd name="connsiteX9" fmla="*/ 976715 w 4639719"/>
            <a:gd name="connsiteY9" fmla="*/ 2684695 h 7007051"/>
            <a:gd name="connsiteX10" fmla="*/ 1131846 w 4639719"/>
            <a:gd name="connsiteY10" fmla="*/ 2847314 h 7007051"/>
            <a:gd name="connsiteX11" fmla="*/ 1352121 w 4639719"/>
            <a:gd name="connsiteY11" fmla="*/ 2888048 h 7007051"/>
            <a:gd name="connsiteX12" fmla="*/ 1433091 w 4639719"/>
            <a:gd name="connsiteY12" fmla="*/ 3055058 h 7007051"/>
            <a:gd name="connsiteX13" fmla="*/ 1680669 w 4639719"/>
            <a:gd name="connsiteY13" fmla="*/ 3019536 h 7007051"/>
            <a:gd name="connsiteX14" fmla="*/ 1826999 w 4639719"/>
            <a:gd name="connsiteY14" fmla="*/ 3117980 h 7007051"/>
            <a:gd name="connsiteX15" fmla="*/ 2321652 w 4639719"/>
            <a:gd name="connsiteY15" fmla="*/ 3082738 h 7007051"/>
            <a:gd name="connsiteX16" fmla="*/ 2497674 w 4639719"/>
            <a:gd name="connsiteY16" fmla="*/ 3342223 h 7007051"/>
            <a:gd name="connsiteX17" fmla="*/ 2872045 w 4639719"/>
            <a:gd name="connsiteY17" fmla="*/ 3481342 h 7007051"/>
            <a:gd name="connsiteX18" fmla="*/ 3356020 w 4639719"/>
            <a:gd name="connsiteY18" fmla="*/ 3741583 h 7007051"/>
            <a:gd name="connsiteX19" fmla="*/ 3383911 w 4639719"/>
            <a:gd name="connsiteY19" fmla="*/ 4018854 h 7007051"/>
            <a:gd name="connsiteX20" fmla="*/ 3611651 w 4639719"/>
            <a:gd name="connsiteY20" fmla="*/ 4189085 h 7007051"/>
            <a:gd name="connsiteX21" fmla="*/ 3562243 w 4639719"/>
            <a:gd name="connsiteY21" fmla="*/ 4462626 h 7007051"/>
            <a:gd name="connsiteX22" fmla="*/ 3467805 w 4639719"/>
            <a:gd name="connsiteY22" fmla="*/ 4661583 h 7007051"/>
            <a:gd name="connsiteX23" fmla="*/ 3668060 w 4639719"/>
            <a:gd name="connsiteY23" fmla="*/ 4707646 h 7007051"/>
            <a:gd name="connsiteX24" fmla="*/ 3745746 w 4639719"/>
            <a:gd name="connsiteY24" fmla="*/ 4741627 h 7007051"/>
            <a:gd name="connsiteX25" fmla="*/ 3719012 w 4639719"/>
            <a:gd name="connsiteY25" fmla="*/ 5046272 h 7007051"/>
            <a:gd name="connsiteX26" fmla="*/ 4083088 w 4639719"/>
            <a:gd name="connsiteY26" fmla="*/ 5180238 h 7007051"/>
            <a:gd name="connsiteX27" fmla="*/ 4117263 w 4639719"/>
            <a:gd name="connsiteY27" fmla="*/ 5383001 h 7007051"/>
            <a:gd name="connsiteX28" fmla="*/ 4312130 w 4639719"/>
            <a:gd name="connsiteY28" fmla="*/ 5401041 h 7007051"/>
            <a:gd name="connsiteX29" fmla="*/ 4303586 w 4639719"/>
            <a:gd name="connsiteY29" fmla="*/ 5592777 h 7007051"/>
            <a:gd name="connsiteX30" fmla="*/ 4511503 w 4639719"/>
            <a:gd name="connsiteY30" fmla="*/ 5532287 h 7007051"/>
            <a:gd name="connsiteX31" fmla="*/ 4516414 w 4639719"/>
            <a:gd name="connsiteY31" fmla="*/ 5753106 h 7007051"/>
            <a:gd name="connsiteX32" fmla="*/ 4305076 w 4639719"/>
            <a:gd name="connsiteY32" fmla="*/ 5803898 h 7007051"/>
            <a:gd name="connsiteX33" fmla="*/ 3861533 w 4639719"/>
            <a:gd name="connsiteY33" fmla="*/ 6384094 h 7007051"/>
            <a:gd name="connsiteX34" fmla="*/ 4454205 w 4639719"/>
            <a:gd name="connsiteY34" fmla="*/ 7007051 h 7007051"/>
            <a:gd name="connsiteX35" fmla="*/ 12900 w 4639719"/>
            <a:gd name="connsiteY35" fmla="*/ 6992686 h 7007051"/>
            <a:gd name="connsiteX0" fmla="*/ 12900 w 4639719"/>
            <a:gd name="connsiteY0" fmla="*/ 6992686 h 7007051"/>
            <a:gd name="connsiteX1" fmla="*/ 12900 w 4639719"/>
            <a:gd name="connsiteY1" fmla="*/ 2611187 h 7007051"/>
            <a:gd name="connsiteX2" fmla="*/ 4000 w 4639719"/>
            <a:gd name="connsiteY2" fmla="*/ 1239764 h 7007051"/>
            <a:gd name="connsiteX3" fmla="*/ 4000 w 4639719"/>
            <a:gd name="connsiteY3" fmla="*/ 17389 h 7007051"/>
            <a:gd name="connsiteX4" fmla="*/ 1632181 w 4639719"/>
            <a:gd name="connsiteY4" fmla="*/ 0 h 7007051"/>
            <a:gd name="connsiteX5" fmla="*/ 1644235 w 4639719"/>
            <a:gd name="connsiteY5" fmla="*/ 609117 h 7007051"/>
            <a:gd name="connsiteX6" fmla="*/ 1626835 w 4639719"/>
            <a:gd name="connsiteY6" fmla="*/ 795713 h 7007051"/>
            <a:gd name="connsiteX7" fmla="*/ 1611332 w 4639719"/>
            <a:gd name="connsiteY7" fmla="*/ 1052434 h 7007051"/>
            <a:gd name="connsiteX8" fmla="*/ 1513149 w 4639719"/>
            <a:gd name="connsiteY8" fmla="*/ 1525409 h 7007051"/>
            <a:gd name="connsiteX9" fmla="*/ 921708 w 4639719"/>
            <a:gd name="connsiteY9" fmla="*/ 1996139 h 7007051"/>
            <a:gd name="connsiteX10" fmla="*/ 976715 w 4639719"/>
            <a:gd name="connsiteY10" fmla="*/ 2684695 h 7007051"/>
            <a:gd name="connsiteX11" fmla="*/ 1131846 w 4639719"/>
            <a:gd name="connsiteY11" fmla="*/ 2847314 h 7007051"/>
            <a:gd name="connsiteX12" fmla="*/ 1352121 w 4639719"/>
            <a:gd name="connsiteY12" fmla="*/ 2888048 h 7007051"/>
            <a:gd name="connsiteX13" fmla="*/ 1433091 w 4639719"/>
            <a:gd name="connsiteY13" fmla="*/ 3055058 h 7007051"/>
            <a:gd name="connsiteX14" fmla="*/ 1680669 w 4639719"/>
            <a:gd name="connsiteY14" fmla="*/ 3019536 h 7007051"/>
            <a:gd name="connsiteX15" fmla="*/ 1826999 w 4639719"/>
            <a:gd name="connsiteY15" fmla="*/ 3117980 h 7007051"/>
            <a:gd name="connsiteX16" fmla="*/ 2321652 w 4639719"/>
            <a:gd name="connsiteY16" fmla="*/ 3082738 h 7007051"/>
            <a:gd name="connsiteX17" fmla="*/ 2497674 w 4639719"/>
            <a:gd name="connsiteY17" fmla="*/ 3342223 h 7007051"/>
            <a:gd name="connsiteX18" fmla="*/ 2872045 w 4639719"/>
            <a:gd name="connsiteY18" fmla="*/ 3481342 h 7007051"/>
            <a:gd name="connsiteX19" fmla="*/ 3356020 w 4639719"/>
            <a:gd name="connsiteY19" fmla="*/ 3741583 h 7007051"/>
            <a:gd name="connsiteX20" fmla="*/ 3383911 w 4639719"/>
            <a:gd name="connsiteY20" fmla="*/ 4018854 h 7007051"/>
            <a:gd name="connsiteX21" fmla="*/ 3611651 w 4639719"/>
            <a:gd name="connsiteY21" fmla="*/ 4189085 h 7007051"/>
            <a:gd name="connsiteX22" fmla="*/ 3562243 w 4639719"/>
            <a:gd name="connsiteY22" fmla="*/ 4462626 h 7007051"/>
            <a:gd name="connsiteX23" fmla="*/ 3467805 w 4639719"/>
            <a:gd name="connsiteY23" fmla="*/ 4661583 h 7007051"/>
            <a:gd name="connsiteX24" fmla="*/ 3668060 w 4639719"/>
            <a:gd name="connsiteY24" fmla="*/ 4707646 h 7007051"/>
            <a:gd name="connsiteX25" fmla="*/ 3745746 w 4639719"/>
            <a:gd name="connsiteY25" fmla="*/ 4741627 h 7007051"/>
            <a:gd name="connsiteX26" fmla="*/ 3719012 w 4639719"/>
            <a:gd name="connsiteY26" fmla="*/ 5046272 h 7007051"/>
            <a:gd name="connsiteX27" fmla="*/ 4083088 w 4639719"/>
            <a:gd name="connsiteY27" fmla="*/ 5180238 h 7007051"/>
            <a:gd name="connsiteX28" fmla="*/ 4117263 w 4639719"/>
            <a:gd name="connsiteY28" fmla="*/ 5383001 h 7007051"/>
            <a:gd name="connsiteX29" fmla="*/ 4312130 w 4639719"/>
            <a:gd name="connsiteY29" fmla="*/ 5401041 h 7007051"/>
            <a:gd name="connsiteX30" fmla="*/ 4303586 w 4639719"/>
            <a:gd name="connsiteY30" fmla="*/ 5592777 h 7007051"/>
            <a:gd name="connsiteX31" fmla="*/ 4511503 w 4639719"/>
            <a:gd name="connsiteY31" fmla="*/ 5532287 h 7007051"/>
            <a:gd name="connsiteX32" fmla="*/ 4516414 w 4639719"/>
            <a:gd name="connsiteY32" fmla="*/ 5753106 h 7007051"/>
            <a:gd name="connsiteX33" fmla="*/ 4305076 w 4639719"/>
            <a:gd name="connsiteY33" fmla="*/ 5803898 h 7007051"/>
            <a:gd name="connsiteX34" fmla="*/ 3861533 w 4639719"/>
            <a:gd name="connsiteY34" fmla="*/ 6384094 h 7007051"/>
            <a:gd name="connsiteX35" fmla="*/ 4454205 w 4639719"/>
            <a:gd name="connsiteY35" fmla="*/ 7007051 h 7007051"/>
            <a:gd name="connsiteX36" fmla="*/ 12900 w 4639719"/>
            <a:gd name="connsiteY36" fmla="*/ 6992686 h 7007051"/>
            <a:gd name="connsiteX0" fmla="*/ 12900 w 4639719"/>
            <a:gd name="connsiteY0" fmla="*/ 6992686 h 7007051"/>
            <a:gd name="connsiteX1" fmla="*/ 12900 w 4639719"/>
            <a:gd name="connsiteY1" fmla="*/ 2611187 h 7007051"/>
            <a:gd name="connsiteX2" fmla="*/ 4000 w 4639719"/>
            <a:gd name="connsiteY2" fmla="*/ 1239764 h 7007051"/>
            <a:gd name="connsiteX3" fmla="*/ 4000 w 4639719"/>
            <a:gd name="connsiteY3" fmla="*/ 17389 h 7007051"/>
            <a:gd name="connsiteX4" fmla="*/ 1632181 w 4639719"/>
            <a:gd name="connsiteY4" fmla="*/ 0 h 7007051"/>
            <a:gd name="connsiteX5" fmla="*/ 1644235 w 4639719"/>
            <a:gd name="connsiteY5" fmla="*/ 609117 h 7007051"/>
            <a:gd name="connsiteX6" fmla="*/ 1721297 w 4639719"/>
            <a:gd name="connsiteY6" fmla="*/ 795713 h 7007051"/>
            <a:gd name="connsiteX7" fmla="*/ 1611332 w 4639719"/>
            <a:gd name="connsiteY7" fmla="*/ 1052434 h 7007051"/>
            <a:gd name="connsiteX8" fmla="*/ 1513149 w 4639719"/>
            <a:gd name="connsiteY8" fmla="*/ 1525409 h 7007051"/>
            <a:gd name="connsiteX9" fmla="*/ 921708 w 4639719"/>
            <a:gd name="connsiteY9" fmla="*/ 1996139 h 7007051"/>
            <a:gd name="connsiteX10" fmla="*/ 976715 w 4639719"/>
            <a:gd name="connsiteY10" fmla="*/ 2684695 h 7007051"/>
            <a:gd name="connsiteX11" fmla="*/ 1131846 w 4639719"/>
            <a:gd name="connsiteY11" fmla="*/ 2847314 h 7007051"/>
            <a:gd name="connsiteX12" fmla="*/ 1352121 w 4639719"/>
            <a:gd name="connsiteY12" fmla="*/ 2888048 h 7007051"/>
            <a:gd name="connsiteX13" fmla="*/ 1433091 w 4639719"/>
            <a:gd name="connsiteY13" fmla="*/ 3055058 h 7007051"/>
            <a:gd name="connsiteX14" fmla="*/ 1680669 w 4639719"/>
            <a:gd name="connsiteY14" fmla="*/ 3019536 h 7007051"/>
            <a:gd name="connsiteX15" fmla="*/ 1826999 w 4639719"/>
            <a:gd name="connsiteY15" fmla="*/ 3117980 h 7007051"/>
            <a:gd name="connsiteX16" fmla="*/ 2321652 w 4639719"/>
            <a:gd name="connsiteY16" fmla="*/ 3082738 h 7007051"/>
            <a:gd name="connsiteX17" fmla="*/ 2497674 w 4639719"/>
            <a:gd name="connsiteY17" fmla="*/ 3342223 h 7007051"/>
            <a:gd name="connsiteX18" fmla="*/ 2872045 w 4639719"/>
            <a:gd name="connsiteY18" fmla="*/ 3481342 h 7007051"/>
            <a:gd name="connsiteX19" fmla="*/ 3356020 w 4639719"/>
            <a:gd name="connsiteY19" fmla="*/ 3741583 h 7007051"/>
            <a:gd name="connsiteX20" fmla="*/ 3383911 w 4639719"/>
            <a:gd name="connsiteY20" fmla="*/ 4018854 h 7007051"/>
            <a:gd name="connsiteX21" fmla="*/ 3611651 w 4639719"/>
            <a:gd name="connsiteY21" fmla="*/ 4189085 h 7007051"/>
            <a:gd name="connsiteX22" fmla="*/ 3562243 w 4639719"/>
            <a:gd name="connsiteY22" fmla="*/ 4462626 h 7007051"/>
            <a:gd name="connsiteX23" fmla="*/ 3467805 w 4639719"/>
            <a:gd name="connsiteY23" fmla="*/ 4661583 h 7007051"/>
            <a:gd name="connsiteX24" fmla="*/ 3668060 w 4639719"/>
            <a:gd name="connsiteY24" fmla="*/ 4707646 h 7007051"/>
            <a:gd name="connsiteX25" fmla="*/ 3745746 w 4639719"/>
            <a:gd name="connsiteY25" fmla="*/ 4741627 h 7007051"/>
            <a:gd name="connsiteX26" fmla="*/ 3719012 w 4639719"/>
            <a:gd name="connsiteY26" fmla="*/ 5046272 h 7007051"/>
            <a:gd name="connsiteX27" fmla="*/ 4083088 w 4639719"/>
            <a:gd name="connsiteY27" fmla="*/ 5180238 h 7007051"/>
            <a:gd name="connsiteX28" fmla="*/ 4117263 w 4639719"/>
            <a:gd name="connsiteY28" fmla="*/ 5383001 h 7007051"/>
            <a:gd name="connsiteX29" fmla="*/ 4312130 w 4639719"/>
            <a:gd name="connsiteY29" fmla="*/ 5401041 h 7007051"/>
            <a:gd name="connsiteX30" fmla="*/ 4303586 w 4639719"/>
            <a:gd name="connsiteY30" fmla="*/ 5592777 h 7007051"/>
            <a:gd name="connsiteX31" fmla="*/ 4511503 w 4639719"/>
            <a:gd name="connsiteY31" fmla="*/ 5532287 h 7007051"/>
            <a:gd name="connsiteX32" fmla="*/ 4516414 w 4639719"/>
            <a:gd name="connsiteY32" fmla="*/ 5753106 h 7007051"/>
            <a:gd name="connsiteX33" fmla="*/ 4305076 w 4639719"/>
            <a:gd name="connsiteY33" fmla="*/ 5803898 h 7007051"/>
            <a:gd name="connsiteX34" fmla="*/ 3861533 w 4639719"/>
            <a:gd name="connsiteY34" fmla="*/ 6384094 h 7007051"/>
            <a:gd name="connsiteX35" fmla="*/ 4454205 w 4639719"/>
            <a:gd name="connsiteY35" fmla="*/ 7007051 h 7007051"/>
            <a:gd name="connsiteX36" fmla="*/ 12900 w 4639719"/>
            <a:gd name="connsiteY36" fmla="*/ 6992686 h 7007051"/>
            <a:gd name="connsiteX0" fmla="*/ 12900 w 4639719"/>
            <a:gd name="connsiteY0" fmla="*/ 6992686 h 7007051"/>
            <a:gd name="connsiteX1" fmla="*/ 12900 w 4639719"/>
            <a:gd name="connsiteY1" fmla="*/ 2611187 h 7007051"/>
            <a:gd name="connsiteX2" fmla="*/ 4000 w 4639719"/>
            <a:gd name="connsiteY2" fmla="*/ 1239764 h 7007051"/>
            <a:gd name="connsiteX3" fmla="*/ 4000 w 4639719"/>
            <a:gd name="connsiteY3" fmla="*/ 17389 h 7007051"/>
            <a:gd name="connsiteX4" fmla="*/ 1632181 w 4639719"/>
            <a:gd name="connsiteY4" fmla="*/ 0 h 7007051"/>
            <a:gd name="connsiteX5" fmla="*/ 1644235 w 4639719"/>
            <a:gd name="connsiteY5" fmla="*/ 654878 h 7007051"/>
            <a:gd name="connsiteX6" fmla="*/ 1721297 w 4639719"/>
            <a:gd name="connsiteY6" fmla="*/ 795713 h 7007051"/>
            <a:gd name="connsiteX7" fmla="*/ 1611332 w 4639719"/>
            <a:gd name="connsiteY7" fmla="*/ 1052434 h 7007051"/>
            <a:gd name="connsiteX8" fmla="*/ 1513149 w 4639719"/>
            <a:gd name="connsiteY8" fmla="*/ 1525409 h 7007051"/>
            <a:gd name="connsiteX9" fmla="*/ 921708 w 4639719"/>
            <a:gd name="connsiteY9" fmla="*/ 1996139 h 7007051"/>
            <a:gd name="connsiteX10" fmla="*/ 976715 w 4639719"/>
            <a:gd name="connsiteY10" fmla="*/ 2684695 h 7007051"/>
            <a:gd name="connsiteX11" fmla="*/ 1131846 w 4639719"/>
            <a:gd name="connsiteY11" fmla="*/ 2847314 h 7007051"/>
            <a:gd name="connsiteX12" fmla="*/ 1352121 w 4639719"/>
            <a:gd name="connsiteY12" fmla="*/ 2888048 h 7007051"/>
            <a:gd name="connsiteX13" fmla="*/ 1433091 w 4639719"/>
            <a:gd name="connsiteY13" fmla="*/ 3055058 h 7007051"/>
            <a:gd name="connsiteX14" fmla="*/ 1680669 w 4639719"/>
            <a:gd name="connsiteY14" fmla="*/ 3019536 h 7007051"/>
            <a:gd name="connsiteX15" fmla="*/ 1826999 w 4639719"/>
            <a:gd name="connsiteY15" fmla="*/ 3117980 h 7007051"/>
            <a:gd name="connsiteX16" fmla="*/ 2321652 w 4639719"/>
            <a:gd name="connsiteY16" fmla="*/ 3082738 h 7007051"/>
            <a:gd name="connsiteX17" fmla="*/ 2497674 w 4639719"/>
            <a:gd name="connsiteY17" fmla="*/ 3342223 h 7007051"/>
            <a:gd name="connsiteX18" fmla="*/ 2872045 w 4639719"/>
            <a:gd name="connsiteY18" fmla="*/ 3481342 h 7007051"/>
            <a:gd name="connsiteX19" fmla="*/ 3356020 w 4639719"/>
            <a:gd name="connsiteY19" fmla="*/ 3741583 h 7007051"/>
            <a:gd name="connsiteX20" fmla="*/ 3383911 w 4639719"/>
            <a:gd name="connsiteY20" fmla="*/ 4018854 h 7007051"/>
            <a:gd name="connsiteX21" fmla="*/ 3611651 w 4639719"/>
            <a:gd name="connsiteY21" fmla="*/ 4189085 h 7007051"/>
            <a:gd name="connsiteX22" fmla="*/ 3562243 w 4639719"/>
            <a:gd name="connsiteY22" fmla="*/ 4462626 h 7007051"/>
            <a:gd name="connsiteX23" fmla="*/ 3467805 w 4639719"/>
            <a:gd name="connsiteY23" fmla="*/ 4661583 h 7007051"/>
            <a:gd name="connsiteX24" fmla="*/ 3668060 w 4639719"/>
            <a:gd name="connsiteY24" fmla="*/ 4707646 h 7007051"/>
            <a:gd name="connsiteX25" fmla="*/ 3745746 w 4639719"/>
            <a:gd name="connsiteY25" fmla="*/ 4741627 h 7007051"/>
            <a:gd name="connsiteX26" fmla="*/ 3719012 w 4639719"/>
            <a:gd name="connsiteY26" fmla="*/ 5046272 h 7007051"/>
            <a:gd name="connsiteX27" fmla="*/ 4083088 w 4639719"/>
            <a:gd name="connsiteY27" fmla="*/ 5180238 h 7007051"/>
            <a:gd name="connsiteX28" fmla="*/ 4117263 w 4639719"/>
            <a:gd name="connsiteY28" fmla="*/ 5383001 h 7007051"/>
            <a:gd name="connsiteX29" fmla="*/ 4312130 w 4639719"/>
            <a:gd name="connsiteY29" fmla="*/ 5401041 h 7007051"/>
            <a:gd name="connsiteX30" fmla="*/ 4303586 w 4639719"/>
            <a:gd name="connsiteY30" fmla="*/ 5592777 h 7007051"/>
            <a:gd name="connsiteX31" fmla="*/ 4511503 w 4639719"/>
            <a:gd name="connsiteY31" fmla="*/ 5532287 h 7007051"/>
            <a:gd name="connsiteX32" fmla="*/ 4516414 w 4639719"/>
            <a:gd name="connsiteY32" fmla="*/ 5753106 h 7007051"/>
            <a:gd name="connsiteX33" fmla="*/ 4305076 w 4639719"/>
            <a:gd name="connsiteY33" fmla="*/ 5803898 h 7007051"/>
            <a:gd name="connsiteX34" fmla="*/ 3861533 w 4639719"/>
            <a:gd name="connsiteY34" fmla="*/ 6384094 h 7007051"/>
            <a:gd name="connsiteX35" fmla="*/ 4454205 w 4639719"/>
            <a:gd name="connsiteY35" fmla="*/ 7007051 h 7007051"/>
            <a:gd name="connsiteX36" fmla="*/ 12900 w 4639719"/>
            <a:gd name="connsiteY36" fmla="*/ 6992686 h 7007051"/>
            <a:gd name="connsiteX0" fmla="*/ 12900 w 4639719"/>
            <a:gd name="connsiteY0" fmla="*/ 6992686 h 7007051"/>
            <a:gd name="connsiteX1" fmla="*/ 12900 w 4639719"/>
            <a:gd name="connsiteY1" fmla="*/ 2611187 h 7007051"/>
            <a:gd name="connsiteX2" fmla="*/ 4000 w 4639719"/>
            <a:gd name="connsiteY2" fmla="*/ 1239764 h 7007051"/>
            <a:gd name="connsiteX3" fmla="*/ 4000 w 4639719"/>
            <a:gd name="connsiteY3" fmla="*/ 17389 h 7007051"/>
            <a:gd name="connsiteX4" fmla="*/ 1632181 w 4639719"/>
            <a:gd name="connsiteY4" fmla="*/ 0 h 7007051"/>
            <a:gd name="connsiteX5" fmla="*/ 1644235 w 4639719"/>
            <a:gd name="connsiteY5" fmla="*/ 654878 h 7007051"/>
            <a:gd name="connsiteX6" fmla="*/ 1721297 w 4639719"/>
            <a:gd name="connsiteY6" fmla="*/ 795713 h 7007051"/>
            <a:gd name="connsiteX7" fmla="*/ 1632323 w 4639719"/>
            <a:gd name="connsiteY7" fmla="*/ 960913 h 7007051"/>
            <a:gd name="connsiteX8" fmla="*/ 1513149 w 4639719"/>
            <a:gd name="connsiteY8" fmla="*/ 1525409 h 7007051"/>
            <a:gd name="connsiteX9" fmla="*/ 921708 w 4639719"/>
            <a:gd name="connsiteY9" fmla="*/ 1996139 h 7007051"/>
            <a:gd name="connsiteX10" fmla="*/ 976715 w 4639719"/>
            <a:gd name="connsiteY10" fmla="*/ 2684695 h 7007051"/>
            <a:gd name="connsiteX11" fmla="*/ 1131846 w 4639719"/>
            <a:gd name="connsiteY11" fmla="*/ 2847314 h 7007051"/>
            <a:gd name="connsiteX12" fmla="*/ 1352121 w 4639719"/>
            <a:gd name="connsiteY12" fmla="*/ 2888048 h 7007051"/>
            <a:gd name="connsiteX13" fmla="*/ 1433091 w 4639719"/>
            <a:gd name="connsiteY13" fmla="*/ 3055058 h 7007051"/>
            <a:gd name="connsiteX14" fmla="*/ 1680669 w 4639719"/>
            <a:gd name="connsiteY14" fmla="*/ 3019536 h 7007051"/>
            <a:gd name="connsiteX15" fmla="*/ 1826999 w 4639719"/>
            <a:gd name="connsiteY15" fmla="*/ 3117980 h 7007051"/>
            <a:gd name="connsiteX16" fmla="*/ 2321652 w 4639719"/>
            <a:gd name="connsiteY16" fmla="*/ 3082738 h 7007051"/>
            <a:gd name="connsiteX17" fmla="*/ 2497674 w 4639719"/>
            <a:gd name="connsiteY17" fmla="*/ 3342223 h 7007051"/>
            <a:gd name="connsiteX18" fmla="*/ 2872045 w 4639719"/>
            <a:gd name="connsiteY18" fmla="*/ 3481342 h 7007051"/>
            <a:gd name="connsiteX19" fmla="*/ 3356020 w 4639719"/>
            <a:gd name="connsiteY19" fmla="*/ 3741583 h 7007051"/>
            <a:gd name="connsiteX20" fmla="*/ 3383911 w 4639719"/>
            <a:gd name="connsiteY20" fmla="*/ 4018854 h 7007051"/>
            <a:gd name="connsiteX21" fmla="*/ 3611651 w 4639719"/>
            <a:gd name="connsiteY21" fmla="*/ 4189085 h 7007051"/>
            <a:gd name="connsiteX22" fmla="*/ 3562243 w 4639719"/>
            <a:gd name="connsiteY22" fmla="*/ 4462626 h 7007051"/>
            <a:gd name="connsiteX23" fmla="*/ 3467805 w 4639719"/>
            <a:gd name="connsiteY23" fmla="*/ 4661583 h 7007051"/>
            <a:gd name="connsiteX24" fmla="*/ 3668060 w 4639719"/>
            <a:gd name="connsiteY24" fmla="*/ 4707646 h 7007051"/>
            <a:gd name="connsiteX25" fmla="*/ 3745746 w 4639719"/>
            <a:gd name="connsiteY25" fmla="*/ 4741627 h 7007051"/>
            <a:gd name="connsiteX26" fmla="*/ 3719012 w 4639719"/>
            <a:gd name="connsiteY26" fmla="*/ 5046272 h 7007051"/>
            <a:gd name="connsiteX27" fmla="*/ 4083088 w 4639719"/>
            <a:gd name="connsiteY27" fmla="*/ 5180238 h 7007051"/>
            <a:gd name="connsiteX28" fmla="*/ 4117263 w 4639719"/>
            <a:gd name="connsiteY28" fmla="*/ 5383001 h 7007051"/>
            <a:gd name="connsiteX29" fmla="*/ 4312130 w 4639719"/>
            <a:gd name="connsiteY29" fmla="*/ 5401041 h 7007051"/>
            <a:gd name="connsiteX30" fmla="*/ 4303586 w 4639719"/>
            <a:gd name="connsiteY30" fmla="*/ 5592777 h 7007051"/>
            <a:gd name="connsiteX31" fmla="*/ 4511503 w 4639719"/>
            <a:gd name="connsiteY31" fmla="*/ 5532287 h 7007051"/>
            <a:gd name="connsiteX32" fmla="*/ 4516414 w 4639719"/>
            <a:gd name="connsiteY32" fmla="*/ 5753106 h 7007051"/>
            <a:gd name="connsiteX33" fmla="*/ 4305076 w 4639719"/>
            <a:gd name="connsiteY33" fmla="*/ 5803898 h 7007051"/>
            <a:gd name="connsiteX34" fmla="*/ 3861533 w 4639719"/>
            <a:gd name="connsiteY34" fmla="*/ 6384094 h 7007051"/>
            <a:gd name="connsiteX35" fmla="*/ 4454205 w 4639719"/>
            <a:gd name="connsiteY35" fmla="*/ 7007051 h 7007051"/>
            <a:gd name="connsiteX36" fmla="*/ 12900 w 4639719"/>
            <a:gd name="connsiteY36" fmla="*/ 6992686 h 7007051"/>
            <a:gd name="connsiteX0" fmla="*/ 12900 w 4639719"/>
            <a:gd name="connsiteY0" fmla="*/ 6992686 h 7007051"/>
            <a:gd name="connsiteX1" fmla="*/ 12900 w 4639719"/>
            <a:gd name="connsiteY1" fmla="*/ 2611187 h 7007051"/>
            <a:gd name="connsiteX2" fmla="*/ 4000 w 4639719"/>
            <a:gd name="connsiteY2" fmla="*/ 1239764 h 7007051"/>
            <a:gd name="connsiteX3" fmla="*/ 4000 w 4639719"/>
            <a:gd name="connsiteY3" fmla="*/ 17389 h 7007051"/>
            <a:gd name="connsiteX4" fmla="*/ 1632181 w 4639719"/>
            <a:gd name="connsiteY4" fmla="*/ 0 h 7007051"/>
            <a:gd name="connsiteX5" fmla="*/ 1644235 w 4639719"/>
            <a:gd name="connsiteY5" fmla="*/ 654878 h 7007051"/>
            <a:gd name="connsiteX6" fmla="*/ 1721297 w 4639719"/>
            <a:gd name="connsiteY6" fmla="*/ 795713 h 7007051"/>
            <a:gd name="connsiteX7" fmla="*/ 1632323 w 4639719"/>
            <a:gd name="connsiteY7" fmla="*/ 960913 h 7007051"/>
            <a:gd name="connsiteX8" fmla="*/ 1513149 w 4639719"/>
            <a:gd name="connsiteY8" fmla="*/ 1525409 h 7007051"/>
            <a:gd name="connsiteX9" fmla="*/ 921708 w 4639719"/>
            <a:gd name="connsiteY9" fmla="*/ 1996139 h 7007051"/>
            <a:gd name="connsiteX10" fmla="*/ 976715 w 4639719"/>
            <a:gd name="connsiteY10" fmla="*/ 2684695 h 7007051"/>
            <a:gd name="connsiteX11" fmla="*/ 1131846 w 4639719"/>
            <a:gd name="connsiteY11" fmla="*/ 2847314 h 7007051"/>
            <a:gd name="connsiteX12" fmla="*/ 1352121 w 4639719"/>
            <a:gd name="connsiteY12" fmla="*/ 2888048 h 7007051"/>
            <a:gd name="connsiteX13" fmla="*/ 1433091 w 4639719"/>
            <a:gd name="connsiteY13" fmla="*/ 3055058 h 7007051"/>
            <a:gd name="connsiteX14" fmla="*/ 1680669 w 4639719"/>
            <a:gd name="connsiteY14" fmla="*/ 3019536 h 7007051"/>
            <a:gd name="connsiteX15" fmla="*/ 1743033 w 4639719"/>
            <a:gd name="connsiteY15" fmla="*/ 3117980 h 7007051"/>
            <a:gd name="connsiteX16" fmla="*/ 2321652 w 4639719"/>
            <a:gd name="connsiteY16" fmla="*/ 3082738 h 7007051"/>
            <a:gd name="connsiteX17" fmla="*/ 2497674 w 4639719"/>
            <a:gd name="connsiteY17" fmla="*/ 3342223 h 7007051"/>
            <a:gd name="connsiteX18" fmla="*/ 2872045 w 4639719"/>
            <a:gd name="connsiteY18" fmla="*/ 3481342 h 7007051"/>
            <a:gd name="connsiteX19" fmla="*/ 3356020 w 4639719"/>
            <a:gd name="connsiteY19" fmla="*/ 3741583 h 7007051"/>
            <a:gd name="connsiteX20" fmla="*/ 3383911 w 4639719"/>
            <a:gd name="connsiteY20" fmla="*/ 4018854 h 7007051"/>
            <a:gd name="connsiteX21" fmla="*/ 3611651 w 4639719"/>
            <a:gd name="connsiteY21" fmla="*/ 4189085 h 7007051"/>
            <a:gd name="connsiteX22" fmla="*/ 3562243 w 4639719"/>
            <a:gd name="connsiteY22" fmla="*/ 4462626 h 7007051"/>
            <a:gd name="connsiteX23" fmla="*/ 3467805 w 4639719"/>
            <a:gd name="connsiteY23" fmla="*/ 4661583 h 7007051"/>
            <a:gd name="connsiteX24" fmla="*/ 3668060 w 4639719"/>
            <a:gd name="connsiteY24" fmla="*/ 4707646 h 7007051"/>
            <a:gd name="connsiteX25" fmla="*/ 3745746 w 4639719"/>
            <a:gd name="connsiteY25" fmla="*/ 4741627 h 7007051"/>
            <a:gd name="connsiteX26" fmla="*/ 3719012 w 4639719"/>
            <a:gd name="connsiteY26" fmla="*/ 5046272 h 7007051"/>
            <a:gd name="connsiteX27" fmla="*/ 4083088 w 4639719"/>
            <a:gd name="connsiteY27" fmla="*/ 5180238 h 7007051"/>
            <a:gd name="connsiteX28" fmla="*/ 4117263 w 4639719"/>
            <a:gd name="connsiteY28" fmla="*/ 5383001 h 7007051"/>
            <a:gd name="connsiteX29" fmla="*/ 4312130 w 4639719"/>
            <a:gd name="connsiteY29" fmla="*/ 5401041 h 7007051"/>
            <a:gd name="connsiteX30" fmla="*/ 4303586 w 4639719"/>
            <a:gd name="connsiteY30" fmla="*/ 5592777 h 7007051"/>
            <a:gd name="connsiteX31" fmla="*/ 4511503 w 4639719"/>
            <a:gd name="connsiteY31" fmla="*/ 5532287 h 7007051"/>
            <a:gd name="connsiteX32" fmla="*/ 4516414 w 4639719"/>
            <a:gd name="connsiteY32" fmla="*/ 5753106 h 7007051"/>
            <a:gd name="connsiteX33" fmla="*/ 4305076 w 4639719"/>
            <a:gd name="connsiteY33" fmla="*/ 5803898 h 7007051"/>
            <a:gd name="connsiteX34" fmla="*/ 3861533 w 4639719"/>
            <a:gd name="connsiteY34" fmla="*/ 6384094 h 7007051"/>
            <a:gd name="connsiteX35" fmla="*/ 4454205 w 4639719"/>
            <a:gd name="connsiteY35" fmla="*/ 7007051 h 7007051"/>
            <a:gd name="connsiteX36" fmla="*/ 12900 w 4639719"/>
            <a:gd name="connsiteY36" fmla="*/ 6992686 h 7007051"/>
            <a:gd name="connsiteX0" fmla="*/ 12900 w 4639719"/>
            <a:gd name="connsiteY0" fmla="*/ 6992686 h 7007051"/>
            <a:gd name="connsiteX1" fmla="*/ 12900 w 4639719"/>
            <a:gd name="connsiteY1" fmla="*/ 2611187 h 7007051"/>
            <a:gd name="connsiteX2" fmla="*/ 4000 w 4639719"/>
            <a:gd name="connsiteY2" fmla="*/ 1239764 h 7007051"/>
            <a:gd name="connsiteX3" fmla="*/ 4000 w 4639719"/>
            <a:gd name="connsiteY3" fmla="*/ 17389 h 7007051"/>
            <a:gd name="connsiteX4" fmla="*/ 1632181 w 4639719"/>
            <a:gd name="connsiteY4" fmla="*/ 0 h 7007051"/>
            <a:gd name="connsiteX5" fmla="*/ 1644235 w 4639719"/>
            <a:gd name="connsiteY5" fmla="*/ 654878 h 7007051"/>
            <a:gd name="connsiteX6" fmla="*/ 1721297 w 4639719"/>
            <a:gd name="connsiteY6" fmla="*/ 795713 h 7007051"/>
            <a:gd name="connsiteX7" fmla="*/ 1632323 w 4639719"/>
            <a:gd name="connsiteY7" fmla="*/ 960913 h 7007051"/>
            <a:gd name="connsiteX8" fmla="*/ 1513149 w 4639719"/>
            <a:gd name="connsiteY8" fmla="*/ 1525409 h 7007051"/>
            <a:gd name="connsiteX9" fmla="*/ 921708 w 4639719"/>
            <a:gd name="connsiteY9" fmla="*/ 1996139 h 7007051"/>
            <a:gd name="connsiteX10" fmla="*/ 976715 w 4639719"/>
            <a:gd name="connsiteY10" fmla="*/ 2684695 h 7007051"/>
            <a:gd name="connsiteX11" fmla="*/ 1131846 w 4639719"/>
            <a:gd name="connsiteY11" fmla="*/ 2847314 h 7007051"/>
            <a:gd name="connsiteX12" fmla="*/ 1352121 w 4639719"/>
            <a:gd name="connsiteY12" fmla="*/ 2888048 h 7007051"/>
            <a:gd name="connsiteX13" fmla="*/ 1506562 w 4639719"/>
            <a:gd name="connsiteY13" fmla="*/ 3073361 h 7007051"/>
            <a:gd name="connsiteX14" fmla="*/ 1680669 w 4639719"/>
            <a:gd name="connsiteY14" fmla="*/ 3019536 h 7007051"/>
            <a:gd name="connsiteX15" fmla="*/ 1743033 w 4639719"/>
            <a:gd name="connsiteY15" fmla="*/ 3117980 h 7007051"/>
            <a:gd name="connsiteX16" fmla="*/ 2321652 w 4639719"/>
            <a:gd name="connsiteY16" fmla="*/ 3082738 h 7007051"/>
            <a:gd name="connsiteX17" fmla="*/ 2497674 w 4639719"/>
            <a:gd name="connsiteY17" fmla="*/ 3342223 h 7007051"/>
            <a:gd name="connsiteX18" fmla="*/ 2872045 w 4639719"/>
            <a:gd name="connsiteY18" fmla="*/ 3481342 h 7007051"/>
            <a:gd name="connsiteX19" fmla="*/ 3356020 w 4639719"/>
            <a:gd name="connsiteY19" fmla="*/ 3741583 h 7007051"/>
            <a:gd name="connsiteX20" fmla="*/ 3383911 w 4639719"/>
            <a:gd name="connsiteY20" fmla="*/ 4018854 h 7007051"/>
            <a:gd name="connsiteX21" fmla="*/ 3611651 w 4639719"/>
            <a:gd name="connsiteY21" fmla="*/ 4189085 h 7007051"/>
            <a:gd name="connsiteX22" fmla="*/ 3562243 w 4639719"/>
            <a:gd name="connsiteY22" fmla="*/ 4462626 h 7007051"/>
            <a:gd name="connsiteX23" fmla="*/ 3467805 w 4639719"/>
            <a:gd name="connsiteY23" fmla="*/ 4661583 h 7007051"/>
            <a:gd name="connsiteX24" fmla="*/ 3668060 w 4639719"/>
            <a:gd name="connsiteY24" fmla="*/ 4707646 h 7007051"/>
            <a:gd name="connsiteX25" fmla="*/ 3745746 w 4639719"/>
            <a:gd name="connsiteY25" fmla="*/ 4741627 h 7007051"/>
            <a:gd name="connsiteX26" fmla="*/ 3719012 w 4639719"/>
            <a:gd name="connsiteY26" fmla="*/ 5046272 h 7007051"/>
            <a:gd name="connsiteX27" fmla="*/ 4083088 w 4639719"/>
            <a:gd name="connsiteY27" fmla="*/ 5180238 h 7007051"/>
            <a:gd name="connsiteX28" fmla="*/ 4117263 w 4639719"/>
            <a:gd name="connsiteY28" fmla="*/ 5383001 h 7007051"/>
            <a:gd name="connsiteX29" fmla="*/ 4312130 w 4639719"/>
            <a:gd name="connsiteY29" fmla="*/ 5401041 h 7007051"/>
            <a:gd name="connsiteX30" fmla="*/ 4303586 w 4639719"/>
            <a:gd name="connsiteY30" fmla="*/ 5592777 h 7007051"/>
            <a:gd name="connsiteX31" fmla="*/ 4511503 w 4639719"/>
            <a:gd name="connsiteY31" fmla="*/ 5532287 h 7007051"/>
            <a:gd name="connsiteX32" fmla="*/ 4516414 w 4639719"/>
            <a:gd name="connsiteY32" fmla="*/ 5753106 h 7007051"/>
            <a:gd name="connsiteX33" fmla="*/ 4305076 w 4639719"/>
            <a:gd name="connsiteY33" fmla="*/ 5803898 h 7007051"/>
            <a:gd name="connsiteX34" fmla="*/ 3861533 w 4639719"/>
            <a:gd name="connsiteY34" fmla="*/ 6384094 h 7007051"/>
            <a:gd name="connsiteX35" fmla="*/ 4454205 w 4639719"/>
            <a:gd name="connsiteY35" fmla="*/ 7007051 h 7007051"/>
            <a:gd name="connsiteX36" fmla="*/ 12900 w 4639719"/>
            <a:gd name="connsiteY36" fmla="*/ 6992686 h 7007051"/>
            <a:gd name="connsiteX0" fmla="*/ 12900 w 4639719"/>
            <a:gd name="connsiteY0" fmla="*/ 6992686 h 7007051"/>
            <a:gd name="connsiteX1" fmla="*/ 12900 w 4639719"/>
            <a:gd name="connsiteY1" fmla="*/ 2611187 h 7007051"/>
            <a:gd name="connsiteX2" fmla="*/ 4000 w 4639719"/>
            <a:gd name="connsiteY2" fmla="*/ 1239764 h 7007051"/>
            <a:gd name="connsiteX3" fmla="*/ 4000 w 4639719"/>
            <a:gd name="connsiteY3" fmla="*/ 17389 h 7007051"/>
            <a:gd name="connsiteX4" fmla="*/ 1632181 w 4639719"/>
            <a:gd name="connsiteY4" fmla="*/ 0 h 7007051"/>
            <a:gd name="connsiteX5" fmla="*/ 1644235 w 4639719"/>
            <a:gd name="connsiteY5" fmla="*/ 654878 h 7007051"/>
            <a:gd name="connsiteX6" fmla="*/ 1721297 w 4639719"/>
            <a:gd name="connsiteY6" fmla="*/ 795713 h 7007051"/>
            <a:gd name="connsiteX7" fmla="*/ 1632323 w 4639719"/>
            <a:gd name="connsiteY7" fmla="*/ 960913 h 7007051"/>
            <a:gd name="connsiteX8" fmla="*/ 1513149 w 4639719"/>
            <a:gd name="connsiteY8" fmla="*/ 1525409 h 7007051"/>
            <a:gd name="connsiteX9" fmla="*/ 921708 w 4639719"/>
            <a:gd name="connsiteY9" fmla="*/ 1996139 h 7007051"/>
            <a:gd name="connsiteX10" fmla="*/ 976715 w 4639719"/>
            <a:gd name="connsiteY10" fmla="*/ 2684695 h 7007051"/>
            <a:gd name="connsiteX11" fmla="*/ 1131846 w 4639719"/>
            <a:gd name="connsiteY11" fmla="*/ 2847314 h 7007051"/>
            <a:gd name="connsiteX12" fmla="*/ 1352121 w 4639719"/>
            <a:gd name="connsiteY12" fmla="*/ 2888048 h 7007051"/>
            <a:gd name="connsiteX13" fmla="*/ 1506562 w 4639719"/>
            <a:gd name="connsiteY13" fmla="*/ 3073361 h 7007051"/>
            <a:gd name="connsiteX14" fmla="*/ 1680669 w 4639719"/>
            <a:gd name="connsiteY14" fmla="*/ 3019536 h 7007051"/>
            <a:gd name="connsiteX15" fmla="*/ 1743033 w 4639719"/>
            <a:gd name="connsiteY15" fmla="*/ 3117980 h 7007051"/>
            <a:gd name="connsiteX16" fmla="*/ 2615532 w 4639719"/>
            <a:gd name="connsiteY16" fmla="*/ 3055282 h 7007051"/>
            <a:gd name="connsiteX17" fmla="*/ 2497674 w 4639719"/>
            <a:gd name="connsiteY17" fmla="*/ 3342223 h 7007051"/>
            <a:gd name="connsiteX18" fmla="*/ 2872045 w 4639719"/>
            <a:gd name="connsiteY18" fmla="*/ 3481342 h 7007051"/>
            <a:gd name="connsiteX19" fmla="*/ 3356020 w 4639719"/>
            <a:gd name="connsiteY19" fmla="*/ 3741583 h 7007051"/>
            <a:gd name="connsiteX20" fmla="*/ 3383911 w 4639719"/>
            <a:gd name="connsiteY20" fmla="*/ 4018854 h 7007051"/>
            <a:gd name="connsiteX21" fmla="*/ 3611651 w 4639719"/>
            <a:gd name="connsiteY21" fmla="*/ 4189085 h 7007051"/>
            <a:gd name="connsiteX22" fmla="*/ 3562243 w 4639719"/>
            <a:gd name="connsiteY22" fmla="*/ 4462626 h 7007051"/>
            <a:gd name="connsiteX23" fmla="*/ 3467805 w 4639719"/>
            <a:gd name="connsiteY23" fmla="*/ 4661583 h 7007051"/>
            <a:gd name="connsiteX24" fmla="*/ 3668060 w 4639719"/>
            <a:gd name="connsiteY24" fmla="*/ 4707646 h 7007051"/>
            <a:gd name="connsiteX25" fmla="*/ 3745746 w 4639719"/>
            <a:gd name="connsiteY25" fmla="*/ 4741627 h 7007051"/>
            <a:gd name="connsiteX26" fmla="*/ 3719012 w 4639719"/>
            <a:gd name="connsiteY26" fmla="*/ 5046272 h 7007051"/>
            <a:gd name="connsiteX27" fmla="*/ 4083088 w 4639719"/>
            <a:gd name="connsiteY27" fmla="*/ 5180238 h 7007051"/>
            <a:gd name="connsiteX28" fmla="*/ 4117263 w 4639719"/>
            <a:gd name="connsiteY28" fmla="*/ 5383001 h 7007051"/>
            <a:gd name="connsiteX29" fmla="*/ 4312130 w 4639719"/>
            <a:gd name="connsiteY29" fmla="*/ 5401041 h 7007051"/>
            <a:gd name="connsiteX30" fmla="*/ 4303586 w 4639719"/>
            <a:gd name="connsiteY30" fmla="*/ 5592777 h 7007051"/>
            <a:gd name="connsiteX31" fmla="*/ 4511503 w 4639719"/>
            <a:gd name="connsiteY31" fmla="*/ 5532287 h 7007051"/>
            <a:gd name="connsiteX32" fmla="*/ 4516414 w 4639719"/>
            <a:gd name="connsiteY32" fmla="*/ 5753106 h 7007051"/>
            <a:gd name="connsiteX33" fmla="*/ 4305076 w 4639719"/>
            <a:gd name="connsiteY33" fmla="*/ 5803898 h 7007051"/>
            <a:gd name="connsiteX34" fmla="*/ 3861533 w 4639719"/>
            <a:gd name="connsiteY34" fmla="*/ 6384094 h 7007051"/>
            <a:gd name="connsiteX35" fmla="*/ 4454205 w 4639719"/>
            <a:gd name="connsiteY35" fmla="*/ 7007051 h 7007051"/>
            <a:gd name="connsiteX36" fmla="*/ 12900 w 4639719"/>
            <a:gd name="connsiteY36" fmla="*/ 6992686 h 7007051"/>
            <a:gd name="connsiteX0" fmla="*/ 12900 w 4639719"/>
            <a:gd name="connsiteY0" fmla="*/ 6992686 h 7007051"/>
            <a:gd name="connsiteX1" fmla="*/ 12900 w 4639719"/>
            <a:gd name="connsiteY1" fmla="*/ 2611187 h 7007051"/>
            <a:gd name="connsiteX2" fmla="*/ 4000 w 4639719"/>
            <a:gd name="connsiteY2" fmla="*/ 1239764 h 7007051"/>
            <a:gd name="connsiteX3" fmla="*/ 4000 w 4639719"/>
            <a:gd name="connsiteY3" fmla="*/ 17389 h 7007051"/>
            <a:gd name="connsiteX4" fmla="*/ 1632181 w 4639719"/>
            <a:gd name="connsiteY4" fmla="*/ 0 h 7007051"/>
            <a:gd name="connsiteX5" fmla="*/ 1644235 w 4639719"/>
            <a:gd name="connsiteY5" fmla="*/ 654878 h 7007051"/>
            <a:gd name="connsiteX6" fmla="*/ 1721297 w 4639719"/>
            <a:gd name="connsiteY6" fmla="*/ 795713 h 7007051"/>
            <a:gd name="connsiteX7" fmla="*/ 1632323 w 4639719"/>
            <a:gd name="connsiteY7" fmla="*/ 960913 h 7007051"/>
            <a:gd name="connsiteX8" fmla="*/ 1513149 w 4639719"/>
            <a:gd name="connsiteY8" fmla="*/ 1525409 h 7007051"/>
            <a:gd name="connsiteX9" fmla="*/ 921708 w 4639719"/>
            <a:gd name="connsiteY9" fmla="*/ 1996139 h 7007051"/>
            <a:gd name="connsiteX10" fmla="*/ 976715 w 4639719"/>
            <a:gd name="connsiteY10" fmla="*/ 2684695 h 7007051"/>
            <a:gd name="connsiteX11" fmla="*/ 1131846 w 4639719"/>
            <a:gd name="connsiteY11" fmla="*/ 2847314 h 7007051"/>
            <a:gd name="connsiteX12" fmla="*/ 1352121 w 4639719"/>
            <a:gd name="connsiteY12" fmla="*/ 2888048 h 7007051"/>
            <a:gd name="connsiteX13" fmla="*/ 1506562 w 4639719"/>
            <a:gd name="connsiteY13" fmla="*/ 3073361 h 7007051"/>
            <a:gd name="connsiteX14" fmla="*/ 1638687 w 4639719"/>
            <a:gd name="connsiteY14" fmla="*/ 3010384 h 7007051"/>
            <a:gd name="connsiteX15" fmla="*/ 1743033 w 4639719"/>
            <a:gd name="connsiteY15" fmla="*/ 3117980 h 7007051"/>
            <a:gd name="connsiteX16" fmla="*/ 2615532 w 4639719"/>
            <a:gd name="connsiteY16" fmla="*/ 3055282 h 7007051"/>
            <a:gd name="connsiteX17" fmla="*/ 2497674 w 4639719"/>
            <a:gd name="connsiteY17" fmla="*/ 3342223 h 7007051"/>
            <a:gd name="connsiteX18" fmla="*/ 2872045 w 4639719"/>
            <a:gd name="connsiteY18" fmla="*/ 3481342 h 7007051"/>
            <a:gd name="connsiteX19" fmla="*/ 3356020 w 4639719"/>
            <a:gd name="connsiteY19" fmla="*/ 3741583 h 7007051"/>
            <a:gd name="connsiteX20" fmla="*/ 3383911 w 4639719"/>
            <a:gd name="connsiteY20" fmla="*/ 4018854 h 7007051"/>
            <a:gd name="connsiteX21" fmla="*/ 3611651 w 4639719"/>
            <a:gd name="connsiteY21" fmla="*/ 4189085 h 7007051"/>
            <a:gd name="connsiteX22" fmla="*/ 3562243 w 4639719"/>
            <a:gd name="connsiteY22" fmla="*/ 4462626 h 7007051"/>
            <a:gd name="connsiteX23" fmla="*/ 3467805 w 4639719"/>
            <a:gd name="connsiteY23" fmla="*/ 4661583 h 7007051"/>
            <a:gd name="connsiteX24" fmla="*/ 3668060 w 4639719"/>
            <a:gd name="connsiteY24" fmla="*/ 4707646 h 7007051"/>
            <a:gd name="connsiteX25" fmla="*/ 3745746 w 4639719"/>
            <a:gd name="connsiteY25" fmla="*/ 4741627 h 7007051"/>
            <a:gd name="connsiteX26" fmla="*/ 3719012 w 4639719"/>
            <a:gd name="connsiteY26" fmla="*/ 5046272 h 7007051"/>
            <a:gd name="connsiteX27" fmla="*/ 4083088 w 4639719"/>
            <a:gd name="connsiteY27" fmla="*/ 5180238 h 7007051"/>
            <a:gd name="connsiteX28" fmla="*/ 4117263 w 4639719"/>
            <a:gd name="connsiteY28" fmla="*/ 5383001 h 7007051"/>
            <a:gd name="connsiteX29" fmla="*/ 4312130 w 4639719"/>
            <a:gd name="connsiteY29" fmla="*/ 5401041 h 7007051"/>
            <a:gd name="connsiteX30" fmla="*/ 4303586 w 4639719"/>
            <a:gd name="connsiteY30" fmla="*/ 5592777 h 7007051"/>
            <a:gd name="connsiteX31" fmla="*/ 4511503 w 4639719"/>
            <a:gd name="connsiteY31" fmla="*/ 5532287 h 7007051"/>
            <a:gd name="connsiteX32" fmla="*/ 4516414 w 4639719"/>
            <a:gd name="connsiteY32" fmla="*/ 5753106 h 7007051"/>
            <a:gd name="connsiteX33" fmla="*/ 4305076 w 4639719"/>
            <a:gd name="connsiteY33" fmla="*/ 5803898 h 7007051"/>
            <a:gd name="connsiteX34" fmla="*/ 3861533 w 4639719"/>
            <a:gd name="connsiteY34" fmla="*/ 6384094 h 7007051"/>
            <a:gd name="connsiteX35" fmla="*/ 4454205 w 4639719"/>
            <a:gd name="connsiteY35" fmla="*/ 7007051 h 7007051"/>
            <a:gd name="connsiteX36" fmla="*/ 12900 w 4639719"/>
            <a:gd name="connsiteY36" fmla="*/ 6992686 h 7007051"/>
            <a:gd name="connsiteX0" fmla="*/ 12900 w 4639719"/>
            <a:gd name="connsiteY0" fmla="*/ 6992686 h 7007051"/>
            <a:gd name="connsiteX1" fmla="*/ 12900 w 4639719"/>
            <a:gd name="connsiteY1" fmla="*/ 2611187 h 7007051"/>
            <a:gd name="connsiteX2" fmla="*/ 4000 w 4639719"/>
            <a:gd name="connsiteY2" fmla="*/ 1239764 h 7007051"/>
            <a:gd name="connsiteX3" fmla="*/ 4000 w 4639719"/>
            <a:gd name="connsiteY3" fmla="*/ 17389 h 7007051"/>
            <a:gd name="connsiteX4" fmla="*/ 1632181 w 4639719"/>
            <a:gd name="connsiteY4" fmla="*/ 0 h 7007051"/>
            <a:gd name="connsiteX5" fmla="*/ 1644235 w 4639719"/>
            <a:gd name="connsiteY5" fmla="*/ 654878 h 7007051"/>
            <a:gd name="connsiteX6" fmla="*/ 1721297 w 4639719"/>
            <a:gd name="connsiteY6" fmla="*/ 795713 h 7007051"/>
            <a:gd name="connsiteX7" fmla="*/ 1632323 w 4639719"/>
            <a:gd name="connsiteY7" fmla="*/ 960913 h 7007051"/>
            <a:gd name="connsiteX8" fmla="*/ 1513149 w 4639719"/>
            <a:gd name="connsiteY8" fmla="*/ 1525409 h 7007051"/>
            <a:gd name="connsiteX9" fmla="*/ 921708 w 4639719"/>
            <a:gd name="connsiteY9" fmla="*/ 1996139 h 7007051"/>
            <a:gd name="connsiteX10" fmla="*/ 976715 w 4639719"/>
            <a:gd name="connsiteY10" fmla="*/ 2684695 h 7007051"/>
            <a:gd name="connsiteX11" fmla="*/ 1131846 w 4639719"/>
            <a:gd name="connsiteY11" fmla="*/ 2847314 h 7007051"/>
            <a:gd name="connsiteX12" fmla="*/ 1352121 w 4639719"/>
            <a:gd name="connsiteY12" fmla="*/ 2888048 h 7007051"/>
            <a:gd name="connsiteX13" fmla="*/ 1496066 w 4639719"/>
            <a:gd name="connsiteY13" fmla="*/ 3027600 h 7007051"/>
            <a:gd name="connsiteX14" fmla="*/ 1638687 w 4639719"/>
            <a:gd name="connsiteY14" fmla="*/ 3010384 h 7007051"/>
            <a:gd name="connsiteX15" fmla="*/ 1743033 w 4639719"/>
            <a:gd name="connsiteY15" fmla="*/ 3117980 h 7007051"/>
            <a:gd name="connsiteX16" fmla="*/ 2615532 w 4639719"/>
            <a:gd name="connsiteY16" fmla="*/ 3055282 h 7007051"/>
            <a:gd name="connsiteX17" fmla="*/ 2497674 w 4639719"/>
            <a:gd name="connsiteY17" fmla="*/ 3342223 h 7007051"/>
            <a:gd name="connsiteX18" fmla="*/ 2872045 w 4639719"/>
            <a:gd name="connsiteY18" fmla="*/ 3481342 h 7007051"/>
            <a:gd name="connsiteX19" fmla="*/ 3356020 w 4639719"/>
            <a:gd name="connsiteY19" fmla="*/ 3741583 h 7007051"/>
            <a:gd name="connsiteX20" fmla="*/ 3383911 w 4639719"/>
            <a:gd name="connsiteY20" fmla="*/ 4018854 h 7007051"/>
            <a:gd name="connsiteX21" fmla="*/ 3611651 w 4639719"/>
            <a:gd name="connsiteY21" fmla="*/ 4189085 h 7007051"/>
            <a:gd name="connsiteX22" fmla="*/ 3562243 w 4639719"/>
            <a:gd name="connsiteY22" fmla="*/ 4462626 h 7007051"/>
            <a:gd name="connsiteX23" fmla="*/ 3467805 w 4639719"/>
            <a:gd name="connsiteY23" fmla="*/ 4661583 h 7007051"/>
            <a:gd name="connsiteX24" fmla="*/ 3668060 w 4639719"/>
            <a:gd name="connsiteY24" fmla="*/ 4707646 h 7007051"/>
            <a:gd name="connsiteX25" fmla="*/ 3745746 w 4639719"/>
            <a:gd name="connsiteY25" fmla="*/ 4741627 h 7007051"/>
            <a:gd name="connsiteX26" fmla="*/ 3719012 w 4639719"/>
            <a:gd name="connsiteY26" fmla="*/ 5046272 h 7007051"/>
            <a:gd name="connsiteX27" fmla="*/ 4083088 w 4639719"/>
            <a:gd name="connsiteY27" fmla="*/ 5180238 h 7007051"/>
            <a:gd name="connsiteX28" fmla="*/ 4117263 w 4639719"/>
            <a:gd name="connsiteY28" fmla="*/ 5383001 h 7007051"/>
            <a:gd name="connsiteX29" fmla="*/ 4312130 w 4639719"/>
            <a:gd name="connsiteY29" fmla="*/ 5401041 h 7007051"/>
            <a:gd name="connsiteX30" fmla="*/ 4303586 w 4639719"/>
            <a:gd name="connsiteY30" fmla="*/ 5592777 h 7007051"/>
            <a:gd name="connsiteX31" fmla="*/ 4511503 w 4639719"/>
            <a:gd name="connsiteY31" fmla="*/ 5532287 h 7007051"/>
            <a:gd name="connsiteX32" fmla="*/ 4516414 w 4639719"/>
            <a:gd name="connsiteY32" fmla="*/ 5753106 h 7007051"/>
            <a:gd name="connsiteX33" fmla="*/ 4305076 w 4639719"/>
            <a:gd name="connsiteY33" fmla="*/ 5803898 h 7007051"/>
            <a:gd name="connsiteX34" fmla="*/ 3861533 w 4639719"/>
            <a:gd name="connsiteY34" fmla="*/ 6384094 h 7007051"/>
            <a:gd name="connsiteX35" fmla="*/ 4454205 w 4639719"/>
            <a:gd name="connsiteY35" fmla="*/ 7007051 h 7007051"/>
            <a:gd name="connsiteX36" fmla="*/ 12900 w 4639719"/>
            <a:gd name="connsiteY36" fmla="*/ 6992686 h 7007051"/>
            <a:gd name="connsiteX0" fmla="*/ 12900 w 4639719"/>
            <a:gd name="connsiteY0" fmla="*/ 6992686 h 7007051"/>
            <a:gd name="connsiteX1" fmla="*/ 12900 w 4639719"/>
            <a:gd name="connsiteY1" fmla="*/ 2611187 h 7007051"/>
            <a:gd name="connsiteX2" fmla="*/ 4000 w 4639719"/>
            <a:gd name="connsiteY2" fmla="*/ 1239764 h 7007051"/>
            <a:gd name="connsiteX3" fmla="*/ 4000 w 4639719"/>
            <a:gd name="connsiteY3" fmla="*/ 17389 h 7007051"/>
            <a:gd name="connsiteX4" fmla="*/ 1632181 w 4639719"/>
            <a:gd name="connsiteY4" fmla="*/ 0 h 7007051"/>
            <a:gd name="connsiteX5" fmla="*/ 1644235 w 4639719"/>
            <a:gd name="connsiteY5" fmla="*/ 654878 h 7007051"/>
            <a:gd name="connsiteX6" fmla="*/ 1721297 w 4639719"/>
            <a:gd name="connsiteY6" fmla="*/ 795713 h 7007051"/>
            <a:gd name="connsiteX7" fmla="*/ 1632323 w 4639719"/>
            <a:gd name="connsiteY7" fmla="*/ 960913 h 7007051"/>
            <a:gd name="connsiteX8" fmla="*/ 1513149 w 4639719"/>
            <a:gd name="connsiteY8" fmla="*/ 1525409 h 7007051"/>
            <a:gd name="connsiteX9" fmla="*/ 921708 w 4639719"/>
            <a:gd name="connsiteY9" fmla="*/ 1996139 h 7007051"/>
            <a:gd name="connsiteX10" fmla="*/ 976715 w 4639719"/>
            <a:gd name="connsiteY10" fmla="*/ 2684695 h 7007051"/>
            <a:gd name="connsiteX11" fmla="*/ 1131846 w 4639719"/>
            <a:gd name="connsiteY11" fmla="*/ 2847314 h 7007051"/>
            <a:gd name="connsiteX12" fmla="*/ 1352121 w 4639719"/>
            <a:gd name="connsiteY12" fmla="*/ 2888048 h 7007051"/>
            <a:gd name="connsiteX13" fmla="*/ 1496066 w 4639719"/>
            <a:gd name="connsiteY13" fmla="*/ 3027600 h 7007051"/>
            <a:gd name="connsiteX14" fmla="*/ 1638687 w 4639719"/>
            <a:gd name="connsiteY14" fmla="*/ 3010384 h 7007051"/>
            <a:gd name="connsiteX15" fmla="*/ 1743033 w 4639719"/>
            <a:gd name="connsiteY15" fmla="*/ 3117980 h 7007051"/>
            <a:gd name="connsiteX16" fmla="*/ 2267072 w 4639719"/>
            <a:gd name="connsiteY16" fmla="*/ 3083752 h 7007051"/>
            <a:gd name="connsiteX17" fmla="*/ 2615532 w 4639719"/>
            <a:gd name="connsiteY17" fmla="*/ 3055282 h 7007051"/>
            <a:gd name="connsiteX18" fmla="*/ 2497674 w 4639719"/>
            <a:gd name="connsiteY18" fmla="*/ 3342223 h 7007051"/>
            <a:gd name="connsiteX19" fmla="*/ 2872045 w 4639719"/>
            <a:gd name="connsiteY19" fmla="*/ 3481342 h 7007051"/>
            <a:gd name="connsiteX20" fmla="*/ 3356020 w 4639719"/>
            <a:gd name="connsiteY20" fmla="*/ 3741583 h 7007051"/>
            <a:gd name="connsiteX21" fmla="*/ 3383911 w 4639719"/>
            <a:gd name="connsiteY21" fmla="*/ 4018854 h 7007051"/>
            <a:gd name="connsiteX22" fmla="*/ 3611651 w 4639719"/>
            <a:gd name="connsiteY22" fmla="*/ 4189085 h 7007051"/>
            <a:gd name="connsiteX23" fmla="*/ 3562243 w 4639719"/>
            <a:gd name="connsiteY23" fmla="*/ 4462626 h 7007051"/>
            <a:gd name="connsiteX24" fmla="*/ 3467805 w 4639719"/>
            <a:gd name="connsiteY24" fmla="*/ 4661583 h 7007051"/>
            <a:gd name="connsiteX25" fmla="*/ 3668060 w 4639719"/>
            <a:gd name="connsiteY25" fmla="*/ 4707646 h 7007051"/>
            <a:gd name="connsiteX26" fmla="*/ 3745746 w 4639719"/>
            <a:gd name="connsiteY26" fmla="*/ 4741627 h 7007051"/>
            <a:gd name="connsiteX27" fmla="*/ 3719012 w 4639719"/>
            <a:gd name="connsiteY27" fmla="*/ 5046272 h 7007051"/>
            <a:gd name="connsiteX28" fmla="*/ 4083088 w 4639719"/>
            <a:gd name="connsiteY28" fmla="*/ 5180238 h 7007051"/>
            <a:gd name="connsiteX29" fmla="*/ 4117263 w 4639719"/>
            <a:gd name="connsiteY29" fmla="*/ 5383001 h 7007051"/>
            <a:gd name="connsiteX30" fmla="*/ 4312130 w 4639719"/>
            <a:gd name="connsiteY30" fmla="*/ 5401041 h 7007051"/>
            <a:gd name="connsiteX31" fmla="*/ 4303586 w 4639719"/>
            <a:gd name="connsiteY31" fmla="*/ 5592777 h 7007051"/>
            <a:gd name="connsiteX32" fmla="*/ 4511503 w 4639719"/>
            <a:gd name="connsiteY32" fmla="*/ 5532287 h 7007051"/>
            <a:gd name="connsiteX33" fmla="*/ 4516414 w 4639719"/>
            <a:gd name="connsiteY33" fmla="*/ 5753106 h 7007051"/>
            <a:gd name="connsiteX34" fmla="*/ 4305076 w 4639719"/>
            <a:gd name="connsiteY34" fmla="*/ 5803898 h 7007051"/>
            <a:gd name="connsiteX35" fmla="*/ 3861533 w 4639719"/>
            <a:gd name="connsiteY35" fmla="*/ 6384094 h 7007051"/>
            <a:gd name="connsiteX36" fmla="*/ 4454205 w 4639719"/>
            <a:gd name="connsiteY36" fmla="*/ 7007051 h 7007051"/>
            <a:gd name="connsiteX37" fmla="*/ 12900 w 4639719"/>
            <a:gd name="connsiteY37" fmla="*/ 6992686 h 7007051"/>
            <a:gd name="connsiteX0" fmla="*/ 12900 w 4639719"/>
            <a:gd name="connsiteY0" fmla="*/ 6992686 h 7007051"/>
            <a:gd name="connsiteX1" fmla="*/ 12900 w 4639719"/>
            <a:gd name="connsiteY1" fmla="*/ 2611187 h 7007051"/>
            <a:gd name="connsiteX2" fmla="*/ 4000 w 4639719"/>
            <a:gd name="connsiteY2" fmla="*/ 1239764 h 7007051"/>
            <a:gd name="connsiteX3" fmla="*/ 4000 w 4639719"/>
            <a:gd name="connsiteY3" fmla="*/ 17389 h 7007051"/>
            <a:gd name="connsiteX4" fmla="*/ 1632181 w 4639719"/>
            <a:gd name="connsiteY4" fmla="*/ 0 h 7007051"/>
            <a:gd name="connsiteX5" fmla="*/ 1644235 w 4639719"/>
            <a:gd name="connsiteY5" fmla="*/ 654878 h 7007051"/>
            <a:gd name="connsiteX6" fmla="*/ 1721297 w 4639719"/>
            <a:gd name="connsiteY6" fmla="*/ 795713 h 7007051"/>
            <a:gd name="connsiteX7" fmla="*/ 1632323 w 4639719"/>
            <a:gd name="connsiteY7" fmla="*/ 960913 h 7007051"/>
            <a:gd name="connsiteX8" fmla="*/ 1513149 w 4639719"/>
            <a:gd name="connsiteY8" fmla="*/ 1525409 h 7007051"/>
            <a:gd name="connsiteX9" fmla="*/ 921708 w 4639719"/>
            <a:gd name="connsiteY9" fmla="*/ 1996139 h 7007051"/>
            <a:gd name="connsiteX10" fmla="*/ 976715 w 4639719"/>
            <a:gd name="connsiteY10" fmla="*/ 2684695 h 7007051"/>
            <a:gd name="connsiteX11" fmla="*/ 1131846 w 4639719"/>
            <a:gd name="connsiteY11" fmla="*/ 2847314 h 7007051"/>
            <a:gd name="connsiteX12" fmla="*/ 1352121 w 4639719"/>
            <a:gd name="connsiteY12" fmla="*/ 2888048 h 7007051"/>
            <a:gd name="connsiteX13" fmla="*/ 1496066 w 4639719"/>
            <a:gd name="connsiteY13" fmla="*/ 3027600 h 7007051"/>
            <a:gd name="connsiteX14" fmla="*/ 1638687 w 4639719"/>
            <a:gd name="connsiteY14" fmla="*/ 3010384 h 7007051"/>
            <a:gd name="connsiteX15" fmla="*/ 1743033 w 4639719"/>
            <a:gd name="connsiteY15" fmla="*/ 3117980 h 7007051"/>
            <a:gd name="connsiteX16" fmla="*/ 2267072 w 4639719"/>
            <a:gd name="connsiteY16" fmla="*/ 3083752 h 7007051"/>
            <a:gd name="connsiteX17" fmla="*/ 2615532 w 4639719"/>
            <a:gd name="connsiteY17" fmla="*/ 3055282 h 7007051"/>
            <a:gd name="connsiteX18" fmla="*/ 2497674 w 4639719"/>
            <a:gd name="connsiteY18" fmla="*/ 3342223 h 7007051"/>
            <a:gd name="connsiteX19" fmla="*/ 2872045 w 4639719"/>
            <a:gd name="connsiteY19" fmla="*/ 3481342 h 7007051"/>
            <a:gd name="connsiteX20" fmla="*/ 3356020 w 4639719"/>
            <a:gd name="connsiteY20" fmla="*/ 3741583 h 7007051"/>
            <a:gd name="connsiteX21" fmla="*/ 3383911 w 4639719"/>
            <a:gd name="connsiteY21" fmla="*/ 4018854 h 7007051"/>
            <a:gd name="connsiteX22" fmla="*/ 3611651 w 4639719"/>
            <a:gd name="connsiteY22" fmla="*/ 4189085 h 7007051"/>
            <a:gd name="connsiteX23" fmla="*/ 3562243 w 4639719"/>
            <a:gd name="connsiteY23" fmla="*/ 4462626 h 7007051"/>
            <a:gd name="connsiteX24" fmla="*/ 3467805 w 4639719"/>
            <a:gd name="connsiteY24" fmla="*/ 4661583 h 7007051"/>
            <a:gd name="connsiteX25" fmla="*/ 3668060 w 4639719"/>
            <a:gd name="connsiteY25" fmla="*/ 4707646 h 7007051"/>
            <a:gd name="connsiteX26" fmla="*/ 3745746 w 4639719"/>
            <a:gd name="connsiteY26" fmla="*/ 4741627 h 7007051"/>
            <a:gd name="connsiteX27" fmla="*/ 3719012 w 4639719"/>
            <a:gd name="connsiteY27" fmla="*/ 5046272 h 7007051"/>
            <a:gd name="connsiteX28" fmla="*/ 4083088 w 4639719"/>
            <a:gd name="connsiteY28" fmla="*/ 5180238 h 7007051"/>
            <a:gd name="connsiteX29" fmla="*/ 4117263 w 4639719"/>
            <a:gd name="connsiteY29" fmla="*/ 5383001 h 7007051"/>
            <a:gd name="connsiteX30" fmla="*/ 4312130 w 4639719"/>
            <a:gd name="connsiteY30" fmla="*/ 5401041 h 7007051"/>
            <a:gd name="connsiteX31" fmla="*/ 4303586 w 4639719"/>
            <a:gd name="connsiteY31" fmla="*/ 5592777 h 7007051"/>
            <a:gd name="connsiteX32" fmla="*/ 4511503 w 4639719"/>
            <a:gd name="connsiteY32" fmla="*/ 5532287 h 7007051"/>
            <a:gd name="connsiteX33" fmla="*/ 4516414 w 4639719"/>
            <a:gd name="connsiteY33" fmla="*/ 5753106 h 7007051"/>
            <a:gd name="connsiteX34" fmla="*/ 4305076 w 4639719"/>
            <a:gd name="connsiteY34" fmla="*/ 5803898 h 7007051"/>
            <a:gd name="connsiteX35" fmla="*/ 3861533 w 4639719"/>
            <a:gd name="connsiteY35" fmla="*/ 6384094 h 7007051"/>
            <a:gd name="connsiteX36" fmla="*/ 4454205 w 4639719"/>
            <a:gd name="connsiteY36" fmla="*/ 7007051 h 7007051"/>
            <a:gd name="connsiteX37" fmla="*/ 12900 w 4639719"/>
            <a:gd name="connsiteY37" fmla="*/ 6992686 h 7007051"/>
            <a:gd name="connsiteX0" fmla="*/ 12900 w 4639719"/>
            <a:gd name="connsiteY0" fmla="*/ 6992686 h 7007051"/>
            <a:gd name="connsiteX1" fmla="*/ 12900 w 4639719"/>
            <a:gd name="connsiteY1" fmla="*/ 2611187 h 7007051"/>
            <a:gd name="connsiteX2" fmla="*/ 4000 w 4639719"/>
            <a:gd name="connsiteY2" fmla="*/ 1239764 h 7007051"/>
            <a:gd name="connsiteX3" fmla="*/ 4000 w 4639719"/>
            <a:gd name="connsiteY3" fmla="*/ 17389 h 7007051"/>
            <a:gd name="connsiteX4" fmla="*/ 1632181 w 4639719"/>
            <a:gd name="connsiteY4" fmla="*/ 0 h 7007051"/>
            <a:gd name="connsiteX5" fmla="*/ 1644235 w 4639719"/>
            <a:gd name="connsiteY5" fmla="*/ 654878 h 7007051"/>
            <a:gd name="connsiteX6" fmla="*/ 1721297 w 4639719"/>
            <a:gd name="connsiteY6" fmla="*/ 795713 h 7007051"/>
            <a:gd name="connsiteX7" fmla="*/ 1632323 w 4639719"/>
            <a:gd name="connsiteY7" fmla="*/ 960913 h 7007051"/>
            <a:gd name="connsiteX8" fmla="*/ 1513149 w 4639719"/>
            <a:gd name="connsiteY8" fmla="*/ 1525409 h 7007051"/>
            <a:gd name="connsiteX9" fmla="*/ 921708 w 4639719"/>
            <a:gd name="connsiteY9" fmla="*/ 1996139 h 7007051"/>
            <a:gd name="connsiteX10" fmla="*/ 976715 w 4639719"/>
            <a:gd name="connsiteY10" fmla="*/ 2684695 h 7007051"/>
            <a:gd name="connsiteX11" fmla="*/ 1131846 w 4639719"/>
            <a:gd name="connsiteY11" fmla="*/ 2847314 h 7007051"/>
            <a:gd name="connsiteX12" fmla="*/ 1352121 w 4639719"/>
            <a:gd name="connsiteY12" fmla="*/ 2888048 h 7007051"/>
            <a:gd name="connsiteX13" fmla="*/ 1496066 w 4639719"/>
            <a:gd name="connsiteY13" fmla="*/ 3027600 h 7007051"/>
            <a:gd name="connsiteX14" fmla="*/ 1638687 w 4639719"/>
            <a:gd name="connsiteY14" fmla="*/ 3010384 h 7007051"/>
            <a:gd name="connsiteX15" fmla="*/ 1743033 w 4639719"/>
            <a:gd name="connsiteY15" fmla="*/ 3117980 h 7007051"/>
            <a:gd name="connsiteX16" fmla="*/ 2267072 w 4639719"/>
            <a:gd name="connsiteY16" fmla="*/ 3083752 h 7007051"/>
            <a:gd name="connsiteX17" fmla="*/ 2689002 w 4639719"/>
            <a:gd name="connsiteY17" fmla="*/ 3055283 h 7007051"/>
            <a:gd name="connsiteX18" fmla="*/ 2497674 w 4639719"/>
            <a:gd name="connsiteY18" fmla="*/ 3342223 h 7007051"/>
            <a:gd name="connsiteX19" fmla="*/ 2872045 w 4639719"/>
            <a:gd name="connsiteY19" fmla="*/ 3481342 h 7007051"/>
            <a:gd name="connsiteX20" fmla="*/ 3356020 w 4639719"/>
            <a:gd name="connsiteY20" fmla="*/ 3741583 h 7007051"/>
            <a:gd name="connsiteX21" fmla="*/ 3383911 w 4639719"/>
            <a:gd name="connsiteY21" fmla="*/ 4018854 h 7007051"/>
            <a:gd name="connsiteX22" fmla="*/ 3611651 w 4639719"/>
            <a:gd name="connsiteY22" fmla="*/ 4189085 h 7007051"/>
            <a:gd name="connsiteX23" fmla="*/ 3562243 w 4639719"/>
            <a:gd name="connsiteY23" fmla="*/ 4462626 h 7007051"/>
            <a:gd name="connsiteX24" fmla="*/ 3467805 w 4639719"/>
            <a:gd name="connsiteY24" fmla="*/ 4661583 h 7007051"/>
            <a:gd name="connsiteX25" fmla="*/ 3668060 w 4639719"/>
            <a:gd name="connsiteY25" fmla="*/ 4707646 h 7007051"/>
            <a:gd name="connsiteX26" fmla="*/ 3745746 w 4639719"/>
            <a:gd name="connsiteY26" fmla="*/ 4741627 h 7007051"/>
            <a:gd name="connsiteX27" fmla="*/ 3719012 w 4639719"/>
            <a:gd name="connsiteY27" fmla="*/ 5046272 h 7007051"/>
            <a:gd name="connsiteX28" fmla="*/ 4083088 w 4639719"/>
            <a:gd name="connsiteY28" fmla="*/ 5180238 h 7007051"/>
            <a:gd name="connsiteX29" fmla="*/ 4117263 w 4639719"/>
            <a:gd name="connsiteY29" fmla="*/ 5383001 h 7007051"/>
            <a:gd name="connsiteX30" fmla="*/ 4312130 w 4639719"/>
            <a:gd name="connsiteY30" fmla="*/ 5401041 h 7007051"/>
            <a:gd name="connsiteX31" fmla="*/ 4303586 w 4639719"/>
            <a:gd name="connsiteY31" fmla="*/ 5592777 h 7007051"/>
            <a:gd name="connsiteX32" fmla="*/ 4511503 w 4639719"/>
            <a:gd name="connsiteY32" fmla="*/ 5532287 h 7007051"/>
            <a:gd name="connsiteX33" fmla="*/ 4516414 w 4639719"/>
            <a:gd name="connsiteY33" fmla="*/ 5753106 h 7007051"/>
            <a:gd name="connsiteX34" fmla="*/ 4305076 w 4639719"/>
            <a:gd name="connsiteY34" fmla="*/ 5803898 h 7007051"/>
            <a:gd name="connsiteX35" fmla="*/ 3861533 w 4639719"/>
            <a:gd name="connsiteY35" fmla="*/ 6384094 h 7007051"/>
            <a:gd name="connsiteX36" fmla="*/ 4454205 w 4639719"/>
            <a:gd name="connsiteY36" fmla="*/ 7007051 h 7007051"/>
            <a:gd name="connsiteX37" fmla="*/ 12900 w 4639719"/>
            <a:gd name="connsiteY37" fmla="*/ 6992686 h 7007051"/>
            <a:gd name="connsiteX0" fmla="*/ 12900 w 4639719"/>
            <a:gd name="connsiteY0" fmla="*/ 6992686 h 7007051"/>
            <a:gd name="connsiteX1" fmla="*/ 12900 w 4639719"/>
            <a:gd name="connsiteY1" fmla="*/ 2611187 h 7007051"/>
            <a:gd name="connsiteX2" fmla="*/ 4000 w 4639719"/>
            <a:gd name="connsiteY2" fmla="*/ 1239764 h 7007051"/>
            <a:gd name="connsiteX3" fmla="*/ 4000 w 4639719"/>
            <a:gd name="connsiteY3" fmla="*/ 17389 h 7007051"/>
            <a:gd name="connsiteX4" fmla="*/ 1632181 w 4639719"/>
            <a:gd name="connsiteY4" fmla="*/ 0 h 7007051"/>
            <a:gd name="connsiteX5" fmla="*/ 1644235 w 4639719"/>
            <a:gd name="connsiteY5" fmla="*/ 654878 h 7007051"/>
            <a:gd name="connsiteX6" fmla="*/ 1721297 w 4639719"/>
            <a:gd name="connsiteY6" fmla="*/ 795713 h 7007051"/>
            <a:gd name="connsiteX7" fmla="*/ 1632323 w 4639719"/>
            <a:gd name="connsiteY7" fmla="*/ 960913 h 7007051"/>
            <a:gd name="connsiteX8" fmla="*/ 1513149 w 4639719"/>
            <a:gd name="connsiteY8" fmla="*/ 1525409 h 7007051"/>
            <a:gd name="connsiteX9" fmla="*/ 921708 w 4639719"/>
            <a:gd name="connsiteY9" fmla="*/ 1996139 h 7007051"/>
            <a:gd name="connsiteX10" fmla="*/ 976715 w 4639719"/>
            <a:gd name="connsiteY10" fmla="*/ 2684695 h 7007051"/>
            <a:gd name="connsiteX11" fmla="*/ 1131846 w 4639719"/>
            <a:gd name="connsiteY11" fmla="*/ 2847314 h 7007051"/>
            <a:gd name="connsiteX12" fmla="*/ 1352121 w 4639719"/>
            <a:gd name="connsiteY12" fmla="*/ 2888048 h 7007051"/>
            <a:gd name="connsiteX13" fmla="*/ 1496066 w 4639719"/>
            <a:gd name="connsiteY13" fmla="*/ 3027600 h 7007051"/>
            <a:gd name="connsiteX14" fmla="*/ 1638687 w 4639719"/>
            <a:gd name="connsiteY14" fmla="*/ 3010384 h 7007051"/>
            <a:gd name="connsiteX15" fmla="*/ 1743033 w 4639719"/>
            <a:gd name="connsiteY15" fmla="*/ 3117980 h 7007051"/>
            <a:gd name="connsiteX16" fmla="*/ 2267072 w 4639719"/>
            <a:gd name="connsiteY16" fmla="*/ 3083752 h 7007051"/>
            <a:gd name="connsiteX17" fmla="*/ 2668012 w 4639719"/>
            <a:gd name="connsiteY17" fmla="*/ 2991219 h 7007051"/>
            <a:gd name="connsiteX18" fmla="*/ 2497674 w 4639719"/>
            <a:gd name="connsiteY18" fmla="*/ 3342223 h 7007051"/>
            <a:gd name="connsiteX19" fmla="*/ 2872045 w 4639719"/>
            <a:gd name="connsiteY19" fmla="*/ 3481342 h 7007051"/>
            <a:gd name="connsiteX20" fmla="*/ 3356020 w 4639719"/>
            <a:gd name="connsiteY20" fmla="*/ 3741583 h 7007051"/>
            <a:gd name="connsiteX21" fmla="*/ 3383911 w 4639719"/>
            <a:gd name="connsiteY21" fmla="*/ 4018854 h 7007051"/>
            <a:gd name="connsiteX22" fmla="*/ 3611651 w 4639719"/>
            <a:gd name="connsiteY22" fmla="*/ 4189085 h 7007051"/>
            <a:gd name="connsiteX23" fmla="*/ 3562243 w 4639719"/>
            <a:gd name="connsiteY23" fmla="*/ 4462626 h 7007051"/>
            <a:gd name="connsiteX24" fmla="*/ 3467805 w 4639719"/>
            <a:gd name="connsiteY24" fmla="*/ 4661583 h 7007051"/>
            <a:gd name="connsiteX25" fmla="*/ 3668060 w 4639719"/>
            <a:gd name="connsiteY25" fmla="*/ 4707646 h 7007051"/>
            <a:gd name="connsiteX26" fmla="*/ 3745746 w 4639719"/>
            <a:gd name="connsiteY26" fmla="*/ 4741627 h 7007051"/>
            <a:gd name="connsiteX27" fmla="*/ 3719012 w 4639719"/>
            <a:gd name="connsiteY27" fmla="*/ 5046272 h 7007051"/>
            <a:gd name="connsiteX28" fmla="*/ 4083088 w 4639719"/>
            <a:gd name="connsiteY28" fmla="*/ 5180238 h 7007051"/>
            <a:gd name="connsiteX29" fmla="*/ 4117263 w 4639719"/>
            <a:gd name="connsiteY29" fmla="*/ 5383001 h 7007051"/>
            <a:gd name="connsiteX30" fmla="*/ 4312130 w 4639719"/>
            <a:gd name="connsiteY30" fmla="*/ 5401041 h 7007051"/>
            <a:gd name="connsiteX31" fmla="*/ 4303586 w 4639719"/>
            <a:gd name="connsiteY31" fmla="*/ 5592777 h 7007051"/>
            <a:gd name="connsiteX32" fmla="*/ 4511503 w 4639719"/>
            <a:gd name="connsiteY32" fmla="*/ 5532287 h 7007051"/>
            <a:gd name="connsiteX33" fmla="*/ 4516414 w 4639719"/>
            <a:gd name="connsiteY33" fmla="*/ 5753106 h 7007051"/>
            <a:gd name="connsiteX34" fmla="*/ 4305076 w 4639719"/>
            <a:gd name="connsiteY34" fmla="*/ 5803898 h 7007051"/>
            <a:gd name="connsiteX35" fmla="*/ 3861533 w 4639719"/>
            <a:gd name="connsiteY35" fmla="*/ 6384094 h 7007051"/>
            <a:gd name="connsiteX36" fmla="*/ 4454205 w 4639719"/>
            <a:gd name="connsiteY36" fmla="*/ 7007051 h 7007051"/>
            <a:gd name="connsiteX37" fmla="*/ 12900 w 4639719"/>
            <a:gd name="connsiteY37" fmla="*/ 6992686 h 7007051"/>
            <a:gd name="connsiteX0" fmla="*/ 12900 w 4639719"/>
            <a:gd name="connsiteY0" fmla="*/ 6992686 h 7007051"/>
            <a:gd name="connsiteX1" fmla="*/ 12900 w 4639719"/>
            <a:gd name="connsiteY1" fmla="*/ 2611187 h 7007051"/>
            <a:gd name="connsiteX2" fmla="*/ 4000 w 4639719"/>
            <a:gd name="connsiteY2" fmla="*/ 1239764 h 7007051"/>
            <a:gd name="connsiteX3" fmla="*/ 4000 w 4639719"/>
            <a:gd name="connsiteY3" fmla="*/ 17389 h 7007051"/>
            <a:gd name="connsiteX4" fmla="*/ 1632181 w 4639719"/>
            <a:gd name="connsiteY4" fmla="*/ 0 h 7007051"/>
            <a:gd name="connsiteX5" fmla="*/ 1644235 w 4639719"/>
            <a:gd name="connsiteY5" fmla="*/ 654878 h 7007051"/>
            <a:gd name="connsiteX6" fmla="*/ 1721297 w 4639719"/>
            <a:gd name="connsiteY6" fmla="*/ 795713 h 7007051"/>
            <a:gd name="connsiteX7" fmla="*/ 1632323 w 4639719"/>
            <a:gd name="connsiteY7" fmla="*/ 960913 h 7007051"/>
            <a:gd name="connsiteX8" fmla="*/ 1513149 w 4639719"/>
            <a:gd name="connsiteY8" fmla="*/ 1525409 h 7007051"/>
            <a:gd name="connsiteX9" fmla="*/ 921708 w 4639719"/>
            <a:gd name="connsiteY9" fmla="*/ 1996139 h 7007051"/>
            <a:gd name="connsiteX10" fmla="*/ 976715 w 4639719"/>
            <a:gd name="connsiteY10" fmla="*/ 2684695 h 7007051"/>
            <a:gd name="connsiteX11" fmla="*/ 1131846 w 4639719"/>
            <a:gd name="connsiteY11" fmla="*/ 2847314 h 7007051"/>
            <a:gd name="connsiteX12" fmla="*/ 1352121 w 4639719"/>
            <a:gd name="connsiteY12" fmla="*/ 2933809 h 7007051"/>
            <a:gd name="connsiteX13" fmla="*/ 1496066 w 4639719"/>
            <a:gd name="connsiteY13" fmla="*/ 3027600 h 7007051"/>
            <a:gd name="connsiteX14" fmla="*/ 1638687 w 4639719"/>
            <a:gd name="connsiteY14" fmla="*/ 3010384 h 7007051"/>
            <a:gd name="connsiteX15" fmla="*/ 1743033 w 4639719"/>
            <a:gd name="connsiteY15" fmla="*/ 3117980 h 7007051"/>
            <a:gd name="connsiteX16" fmla="*/ 2267072 w 4639719"/>
            <a:gd name="connsiteY16" fmla="*/ 3083752 h 7007051"/>
            <a:gd name="connsiteX17" fmla="*/ 2668012 w 4639719"/>
            <a:gd name="connsiteY17" fmla="*/ 2991219 h 7007051"/>
            <a:gd name="connsiteX18" fmla="*/ 2497674 w 4639719"/>
            <a:gd name="connsiteY18" fmla="*/ 3342223 h 7007051"/>
            <a:gd name="connsiteX19" fmla="*/ 2872045 w 4639719"/>
            <a:gd name="connsiteY19" fmla="*/ 3481342 h 7007051"/>
            <a:gd name="connsiteX20" fmla="*/ 3356020 w 4639719"/>
            <a:gd name="connsiteY20" fmla="*/ 3741583 h 7007051"/>
            <a:gd name="connsiteX21" fmla="*/ 3383911 w 4639719"/>
            <a:gd name="connsiteY21" fmla="*/ 4018854 h 7007051"/>
            <a:gd name="connsiteX22" fmla="*/ 3611651 w 4639719"/>
            <a:gd name="connsiteY22" fmla="*/ 4189085 h 7007051"/>
            <a:gd name="connsiteX23" fmla="*/ 3562243 w 4639719"/>
            <a:gd name="connsiteY23" fmla="*/ 4462626 h 7007051"/>
            <a:gd name="connsiteX24" fmla="*/ 3467805 w 4639719"/>
            <a:gd name="connsiteY24" fmla="*/ 4661583 h 7007051"/>
            <a:gd name="connsiteX25" fmla="*/ 3668060 w 4639719"/>
            <a:gd name="connsiteY25" fmla="*/ 4707646 h 7007051"/>
            <a:gd name="connsiteX26" fmla="*/ 3745746 w 4639719"/>
            <a:gd name="connsiteY26" fmla="*/ 4741627 h 7007051"/>
            <a:gd name="connsiteX27" fmla="*/ 3719012 w 4639719"/>
            <a:gd name="connsiteY27" fmla="*/ 5046272 h 7007051"/>
            <a:gd name="connsiteX28" fmla="*/ 4083088 w 4639719"/>
            <a:gd name="connsiteY28" fmla="*/ 5180238 h 7007051"/>
            <a:gd name="connsiteX29" fmla="*/ 4117263 w 4639719"/>
            <a:gd name="connsiteY29" fmla="*/ 5383001 h 7007051"/>
            <a:gd name="connsiteX30" fmla="*/ 4312130 w 4639719"/>
            <a:gd name="connsiteY30" fmla="*/ 5401041 h 7007051"/>
            <a:gd name="connsiteX31" fmla="*/ 4303586 w 4639719"/>
            <a:gd name="connsiteY31" fmla="*/ 5592777 h 7007051"/>
            <a:gd name="connsiteX32" fmla="*/ 4511503 w 4639719"/>
            <a:gd name="connsiteY32" fmla="*/ 5532287 h 7007051"/>
            <a:gd name="connsiteX33" fmla="*/ 4516414 w 4639719"/>
            <a:gd name="connsiteY33" fmla="*/ 5753106 h 7007051"/>
            <a:gd name="connsiteX34" fmla="*/ 4305076 w 4639719"/>
            <a:gd name="connsiteY34" fmla="*/ 5803898 h 7007051"/>
            <a:gd name="connsiteX35" fmla="*/ 3861533 w 4639719"/>
            <a:gd name="connsiteY35" fmla="*/ 6384094 h 7007051"/>
            <a:gd name="connsiteX36" fmla="*/ 4454205 w 4639719"/>
            <a:gd name="connsiteY36" fmla="*/ 7007051 h 7007051"/>
            <a:gd name="connsiteX37" fmla="*/ 12900 w 4639719"/>
            <a:gd name="connsiteY37" fmla="*/ 6992686 h 7007051"/>
            <a:gd name="connsiteX0" fmla="*/ 12900 w 4639719"/>
            <a:gd name="connsiteY0" fmla="*/ 6992686 h 7007051"/>
            <a:gd name="connsiteX1" fmla="*/ 12900 w 4639719"/>
            <a:gd name="connsiteY1" fmla="*/ 2611187 h 7007051"/>
            <a:gd name="connsiteX2" fmla="*/ 4000 w 4639719"/>
            <a:gd name="connsiteY2" fmla="*/ 1239764 h 7007051"/>
            <a:gd name="connsiteX3" fmla="*/ 4000 w 4639719"/>
            <a:gd name="connsiteY3" fmla="*/ 17389 h 7007051"/>
            <a:gd name="connsiteX4" fmla="*/ 1632181 w 4639719"/>
            <a:gd name="connsiteY4" fmla="*/ 0 h 7007051"/>
            <a:gd name="connsiteX5" fmla="*/ 1644235 w 4639719"/>
            <a:gd name="connsiteY5" fmla="*/ 654878 h 7007051"/>
            <a:gd name="connsiteX6" fmla="*/ 1721297 w 4639719"/>
            <a:gd name="connsiteY6" fmla="*/ 795713 h 7007051"/>
            <a:gd name="connsiteX7" fmla="*/ 1632323 w 4639719"/>
            <a:gd name="connsiteY7" fmla="*/ 960913 h 7007051"/>
            <a:gd name="connsiteX8" fmla="*/ 1513149 w 4639719"/>
            <a:gd name="connsiteY8" fmla="*/ 1525409 h 7007051"/>
            <a:gd name="connsiteX9" fmla="*/ 921708 w 4639719"/>
            <a:gd name="connsiteY9" fmla="*/ 1996139 h 7007051"/>
            <a:gd name="connsiteX10" fmla="*/ 976715 w 4639719"/>
            <a:gd name="connsiteY10" fmla="*/ 2684695 h 7007051"/>
            <a:gd name="connsiteX11" fmla="*/ 1131846 w 4639719"/>
            <a:gd name="connsiteY11" fmla="*/ 2847314 h 7007051"/>
            <a:gd name="connsiteX12" fmla="*/ 1352121 w 4639719"/>
            <a:gd name="connsiteY12" fmla="*/ 2933809 h 7007051"/>
            <a:gd name="connsiteX13" fmla="*/ 1496066 w 4639719"/>
            <a:gd name="connsiteY13" fmla="*/ 3027600 h 7007051"/>
            <a:gd name="connsiteX14" fmla="*/ 1670174 w 4639719"/>
            <a:gd name="connsiteY14" fmla="*/ 2973776 h 7007051"/>
            <a:gd name="connsiteX15" fmla="*/ 1743033 w 4639719"/>
            <a:gd name="connsiteY15" fmla="*/ 3117980 h 7007051"/>
            <a:gd name="connsiteX16" fmla="*/ 2267072 w 4639719"/>
            <a:gd name="connsiteY16" fmla="*/ 3083752 h 7007051"/>
            <a:gd name="connsiteX17" fmla="*/ 2668012 w 4639719"/>
            <a:gd name="connsiteY17" fmla="*/ 2991219 h 7007051"/>
            <a:gd name="connsiteX18" fmla="*/ 2497674 w 4639719"/>
            <a:gd name="connsiteY18" fmla="*/ 3342223 h 7007051"/>
            <a:gd name="connsiteX19" fmla="*/ 2872045 w 4639719"/>
            <a:gd name="connsiteY19" fmla="*/ 3481342 h 7007051"/>
            <a:gd name="connsiteX20" fmla="*/ 3356020 w 4639719"/>
            <a:gd name="connsiteY20" fmla="*/ 3741583 h 7007051"/>
            <a:gd name="connsiteX21" fmla="*/ 3383911 w 4639719"/>
            <a:gd name="connsiteY21" fmla="*/ 4018854 h 7007051"/>
            <a:gd name="connsiteX22" fmla="*/ 3611651 w 4639719"/>
            <a:gd name="connsiteY22" fmla="*/ 4189085 h 7007051"/>
            <a:gd name="connsiteX23" fmla="*/ 3562243 w 4639719"/>
            <a:gd name="connsiteY23" fmla="*/ 4462626 h 7007051"/>
            <a:gd name="connsiteX24" fmla="*/ 3467805 w 4639719"/>
            <a:gd name="connsiteY24" fmla="*/ 4661583 h 7007051"/>
            <a:gd name="connsiteX25" fmla="*/ 3668060 w 4639719"/>
            <a:gd name="connsiteY25" fmla="*/ 4707646 h 7007051"/>
            <a:gd name="connsiteX26" fmla="*/ 3745746 w 4639719"/>
            <a:gd name="connsiteY26" fmla="*/ 4741627 h 7007051"/>
            <a:gd name="connsiteX27" fmla="*/ 3719012 w 4639719"/>
            <a:gd name="connsiteY27" fmla="*/ 5046272 h 7007051"/>
            <a:gd name="connsiteX28" fmla="*/ 4083088 w 4639719"/>
            <a:gd name="connsiteY28" fmla="*/ 5180238 h 7007051"/>
            <a:gd name="connsiteX29" fmla="*/ 4117263 w 4639719"/>
            <a:gd name="connsiteY29" fmla="*/ 5383001 h 7007051"/>
            <a:gd name="connsiteX30" fmla="*/ 4312130 w 4639719"/>
            <a:gd name="connsiteY30" fmla="*/ 5401041 h 7007051"/>
            <a:gd name="connsiteX31" fmla="*/ 4303586 w 4639719"/>
            <a:gd name="connsiteY31" fmla="*/ 5592777 h 7007051"/>
            <a:gd name="connsiteX32" fmla="*/ 4511503 w 4639719"/>
            <a:gd name="connsiteY32" fmla="*/ 5532287 h 7007051"/>
            <a:gd name="connsiteX33" fmla="*/ 4516414 w 4639719"/>
            <a:gd name="connsiteY33" fmla="*/ 5753106 h 7007051"/>
            <a:gd name="connsiteX34" fmla="*/ 4305076 w 4639719"/>
            <a:gd name="connsiteY34" fmla="*/ 5803898 h 7007051"/>
            <a:gd name="connsiteX35" fmla="*/ 3861533 w 4639719"/>
            <a:gd name="connsiteY35" fmla="*/ 6384094 h 7007051"/>
            <a:gd name="connsiteX36" fmla="*/ 4454205 w 4639719"/>
            <a:gd name="connsiteY36" fmla="*/ 7007051 h 7007051"/>
            <a:gd name="connsiteX37" fmla="*/ 12900 w 4639719"/>
            <a:gd name="connsiteY37" fmla="*/ 6992686 h 7007051"/>
            <a:gd name="connsiteX0" fmla="*/ 12900 w 4639719"/>
            <a:gd name="connsiteY0" fmla="*/ 6992686 h 7007051"/>
            <a:gd name="connsiteX1" fmla="*/ 12900 w 4639719"/>
            <a:gd name="connsiteY1" fmla="*/ 2611187 h 7007051"/>
            <a:gd name="connsiteX2" fmla="*/ 4000 w 4639719"/>
            <a:gd name="connsiteY2" fmla="*/ 1239764 h 7007051"/>
            <a:gd name="connsiteX3" fmla="*/ 4000 w 4639719"/>
            <a:gd name="connsiteY3" fmla="*/ 17389 h 7007051"/>
            <a:gd name="connsiteX4" fmla="*/ 1632181 w 4639719"/>
            <a:gd name="connsiteY4" fmla="*/ 0 h 7007051"/>
            <a:gd name="connsiteX5" fmla="*/ 1644235 w 4639719"/>
            <a:gd name="connsiteY5" fmla="*/ 654878 h 7007051"/>
            <a:gd name="connsiteX6" fmla="*/ 1721297 w 4639719"/>
            <a:gd name="connsiteY6" fmla="*/ 795713 h 7007051"/>
            <a:gd name="connsiteX7" fmla="*/ 1632323 w 4639719"/>
            <a:gd name="connsiteY7" fmla="*/ 960913 h 7007051"/>
            <a:gd name="connsiteX8" fmla="*/ 1513149 w 4639719"/>
            <a:gd name="connsiteY8" fmla="*/ 1525409 h 7007051"/>
            <a:gd name="connsiteX9" fmla="*/ 921708 w 4639719"/>
            <a:gd name="connsiteY9" fmla="*/ 1996139 h 7007051"/>
            <a:gd name="connsiteX10" fmla="*/ 976715 w 4639719"/>
            <a:gd name="connsiteY10" fmla="*/ 2684695 h 7007051"/>
            <a:gd name="connsiteX11" fmla="*/ 1131846 w 4639719"/>
            <a:gd name="connsiteY11" fmla="*/ 2847314 h 7007051"/>
            <a:gd name="connsiteX12" fmla="*/ 1352121 w 4639719"/>
            <a:gd name="connsiteY12" fmla="*/ 2933809 h 7007051"/>
            <a:gd name="connsiteX13" fmla="*/ 1496066 w 4639719"/>
            <a:gd name="connsiteY13" fmla="*/ 3027600 h 7007051"/>
            <a:gd name="connsiteX14" fmla="*/ 1659678 w 4639719"/>
            <a:gd name="connsiteY14" fmla="*/ 3019537 h 7007051"/>
            <a:gd name="connsiteX15" fmla="*/ 1743033 w 4639719"/>
            <a:gd name="connsiteY15" fmla="*/ 3117980 h 7007051"/>
            <a:gd name="connsiteX16" fmla="*/ 2267072 w 4639719"/>
            <a:gd name="connsiteY16" fmla="*/ 3083752 h 7007051"/>
            <a:gd name="connsiteX17" fmla="*/ 2668012 w 4639719"/>
            <a:gd name="connsiteY17" fmla="*/ 2991219 h 7007051"/>
            <a:gd name="connsiteX18" fmla="*/ 2497674 w 4639719"/>
            <a:gd name="connsiteY18" fmla="*/ 3342223 h 7007051"/>
            <a:gd name="connsiteX19" fmla="*/ 2872045 w 4639719"/>
            <a:gd name="connsiteY19" fmla="*/ 3481342 h 7007051"/>
            <a:gd name="connsiteX20" fmla="*/ 3356020 w 4639719"/>
            <a:gd name="connsiteY20" fmla="*/ 3741583 h 7007051"/>
            <a:gd name="connsiteX21" fmla="*/ 3383911 w 4639719"/>
            <a:gd name="connsiteY21" fmla="*/ 4018854 h 7007051"/>
            <a:gd name="connsiteX22" fmla="*/ 3611651 w 4639719"/>
            <a:gd name="connsiteY22" fmla="*/ 4189085 h 7007051"/>
            <a:gd name="connsiteX23" fmla="*/ 3562243 w 4639719"/>
            <a:gd name="connsiteY23" fmla="*/ 4462626 h 7007051"/>
            <a:gd name="connsiteX24" fmla="*/ 3467805 w 4639719"/>
            <a:gd name="connsiteY24" fmla="*/ 4661583 h 7007051"/>
            <a:gd name="connsiteX25" fmla="*/ 3668060 w 4639719"/>
            <a:gd name="connsiteY25" fmla="*/ 4707646 h 7007051"/>
            <a:gd name="connsiteX26" fmla="*/ 3745746 w 4639719"/>
            <a:gd name="connsiteY26" fmla="*/ 4741627 h 7007051"/>
            <a:gd name="connsiteX27" fmla="*/ 3719012 w 4639719"/>
            <a:gd name="connsiteY27" fmla="*/ 5046272 h 7007051"/>
            <a:gd name="connsiteX28" fmla="*/ 4083088 w 4639719"/>
            <a:gd name="connsiteY28" fmla="*/ 5180238 h 7007051"/>
            <a:gd name="connsiteX29" fmla="*/ 4117263 w 4639719"/>
            <a:gd name="connsiteY29" fmla="*/ 5383001 h 7007051"/>
            <a:gd name="connsiteX30" fmla="*/ 4312130 w 4639719"/>
            <a:gd name="connsiteY30" fmla="*/ 5401041 h 7007051"/>
            <a:gd name="connsiteX31" fmla="*/ 4303586 w 4639719"/>
            <a:gd name="connsiteY31" fmla="*/ 5592777 h 7007051"/>
            <a:gd name="connsiteX32" fmla="*/ 4511503 w 4639719"/>
            <a:gd name="connsiteY32" fmla="*/ 5532287 h 7007051"/>
            <a:gd name="connsiteX33" fmla="*/ 4516414 w 4639719"/>
            <a:gd name="connsiteY33" fmla="*/ 5753106 h 7007051"/>
            <a:gd name="connsiteX34" fmla="*/ 4305076 w 4639719"/>
            <a:gd name="connsiteY34" fmla="*/ 5803898 h 7007051"/>
            <a:gd name="connsiteX35" fmla="*/ 3861533 w 4639719"/>
            <a:gd name="connsiteY35" fmla="*/ 6384094 h 7007051"/>
            <a:gd name="connsiteX36" fmla="*/ 4454205 w 4639719"/>
            <a:gd name="connsiteY36" fmla="*/ 7007051 h 7007051"/>
            <a:gd name="connsiteX37" fmla="*/ 12900 w 4639719"/>
            <a:gd name="connsiteY37" fmla="*/ 6992686 h 7007051"/>
            <a:gd name="connsiteX0" fmla="*/ 12900 w 4639719"/>
            <a:gd name="connsiteY0" fmla="*/ 6992686 h 7007051"/>
            <a:gd name="connsiteX1" fmla="*/ 12900 w 4639719"/>
            <a:gd name="connsiteY1" fmla="*/ 2611187 h 7007051"/>
            <a:gd name="connsiteX2" fmla="*/ 4000 w 4639719"/>
            <a:gd name="connsiteY2" fmla="*/ 1239764 h 7007051"/>
            <a:gd name="connsiteX3" fmla="*/ 4000 w 4639719"/>
            <a:gd name="connsiteY3" fmla="*/ 17389 h 7007051"/>
            <a:gd name="connsiteX4" fmla="*/ 1632181 w 4639719"/>
            <a:gd name="connsiteY4" fmla="*/ 0 h 7007051"/>
            <a:gd name="connsiteX5" fmla="*/ 1644235 w 4639719"/>
            <a:gd name="connsiteY5" fmla="*/ 654878 h 7007051"/>
            <a:gd name="connsiteX6" fmla="*/ 1721297 w 4639719"/>
            <a:gd name="connsiteY6" fmla="*/ 795713 h 7007051"/>
            <a:gd name="connsiteX7" fmla="*/ 1632323 w 4639719"/>
            <a:gd name="connsiteY7" fmla="*/ 960913 h 7007051"/>
            <a:gd name="connsiteX8" fmla="*/ 1513149 w 4639719"/>
            <a:gd name="connsiteY8" fmla="*/ 1525409 h 7007051"/>
            <a:gd name="connsiteX9" fmla="*/ 921708 w 4639719"/>
            <a:gd name="connsiteY9" fmla="*/ 1996139 h 7007051"/>
            <a:gd name="connsiteX10" fmla="*/ 976715 w 4639719"/>
            <a:gd name="connsiteY10" fmla="*/ 2684695 h 7007051"/>
            <a:gd name="connsiteX11" fmla="*/ 1131846 w 4639719"/>
            <a:gd name="connsiteY11" fmla="*/ 2847314 h 7007051"/>
            <a:gd name="connsiteX12" fmla="*/ 1352121 w 4639719"/>
            <a:gd name="connsiteY12" fmla="*/ 2933809 h 7007051"/>
            <a:gd name="connsiteX13" fmla="*/ 1496066 w 4639719"/>
            <a:gd name="connsiteY13" fmla="*/ 3027600 h 7007051"/>
            <a:gd name="connsiteX14" fmla="*/ 1659678 w 4639719"/>
            <a:gd name="connsiteY14" fmla="*/ 3019537 h 7007051"/>
            <a:gd name="connsiteX15" fmla="*/ 1743033 w 4639719"/>
            <a:gd name="connsiteY15" fmla="*/ 3117980 h 7007051"/>
            <a:gd name="connsiteX16" fmla="*/ 2267072 w 4639719"/>
            <a:gd name="connsiteY16" fmla="*/ 3083752 h 7007051"/>
            <a:gd name="connsiteX17" fmla="*/ 2668012 w 4639719"/>
            <a:gd name="connsiteY17" fmla="*/ 2991219 h 7007051"/>
            <a:gd name="connsiteX18" fmla="*/ 2613430 w 4639719"/>
            <a:gd name="connsiteY18" fmla="*/ 2946469 h 7007051"/>
            <a:gd name="connsiteX19" fmla="*/ 2497674 w 4639719"/>
            <a:gd name="connsiteY19" fmla="*/ 3342223 h 7007051"/>
            <a:gd name="connsiteX20" fmla="*/ 2872045 w 4639719"/>
            <a:gd name="connsiteY20" fmla="*/ 3481342 h 7007051"/>
            <a:gd name="connsiteX21" fmla="*/ 3356020 w 4639719"/>
            <a:gd name="connsiteY21" fmla="*/ 3741583 h 7007051"/>
            <a:gd name="connsiteX22" fmla="*/ 3383911 w 4639719"/>
            <a:gd name="connsiteY22" fmla="*/ 4018854 h 7007051"/>
            <a:gd name="connsiteX23" fmla="*/ 3611651 w 4639719"/>
            <a:gd name="connsiteY23" fmla="*/ 4189085 h 7007051"/>
            <a:gd name="connsiteX24" fmla="*/ 3562243 w 4639719"/>
            <a:gd name="connsiteY24" fmla="*/ 4462626 h 7007051"/>
            <a:gd name="connsiteX25" fmla="*/ 3467805 w 4639719"/>
            <a:gd name="connsiteY25" fmla="*/ 4661583 h 7007051"/>
            <a:gd name="connsiteX26" fmla="*/ 3668060 w 4639719"/>
            <a:gd name="connsiteY26" fmla="*/ 4707646 h 7007051"/>
            <a:gd name="connsiteX27" fmla="*/ 3745746 w 4639719"/>
            <a:gd name="connsiteY27" fmla="*/ 4741627 h 7007051"/>
            <a:gd name="connsiteX28" fmla="*/ 3719012 w 4639719"/>
            <a:gd name="connsiteY28" fmla="*/ 5046272 h 7007051"/>
            <a:gd name="connsiteX29" fmla="*/ 4083088 w 4639719"/>
            <a:gd name="connsiteY29" fmla="*/ 5180238 h 7007051"/>
            <a:gd name="connsiteX30" fmla="*/ 4117263 w 4639719"/>
            <a:gd name="connsiteY30" fmla="*/ 5383001 h 7007051"/>
            <a:gd name="connsiteX31" fmla="*/ 4312130 w 4639719"/>
            <a:gd name="connsiteY31" fmla="*/ 5401041 h 7007051"/>
            <a:gd name="connsiteX32" fmla="*/ 4303586 w 4639719"/>
            <a:gd name="connsiteY32" fmla="*/ 5592777 h 7007051"/>
            <a:gd name="connsiteX33" fmla="*/ 4511503 w 4639719"/>
            <a:gd name="connsiteY33" fmla="*/ 5532287 h 7007051"/>
            <a:gd name="connsiteX34" fmla="*/ 4516414 w 4639719"/>
            <a:gd name="connsiteY34" fmla="*/ 5753106 h 7007051"/>
            <a:gd name="connsiteX35" fmla="*/ 4305076 w 4639719"/>
            <a:gd name="connsiteY35" fmla="*/ 5803898 h 7007051"/>
            <a:gd name="connsiteX36" fmla="*/ 3861533 w 4639719"/>
            <a:gd name="connsiteY36" fmla="*/ 6384094 h 7007051"/>
            <a:gd name="connsiteX37" fmla="*/ 4454205 w 4639719"/>
            <a:gd name="connsiteY37" fmla="*/ 7007051 h 7007051"/>
            <a:gd name="connsiteX38" fmla="*/ 12900 w 4639719"/>
            <a:gd name="connsiteY38" fmla="*/ 6992686 h 7007051"/>
            <a:gd name="connsiteX0" fmla="*/ 12900 w 4639719"/>
            <a:gd name="connsiteY0" fmla="*/ 6992686 h 7007051"/>
            <a:gd name="connsiteX1" fmla="*/ 12900 w 4639719"/>
            <a:gd name="connsiteY1" fmla="*/ 2611187 h 7007051"/>
            <a:gd name="connsiteX2" fmla="*/ 4000 w 4639719"/>
            <a:gd name="connsiteY2" fmla="*/ 1239764 h 7007051"/>
            <a:gd name="connsiteX3" fmla="*/ 4000 w 4639719"/>
            <a:gd name="connsiteY3" fmla="*/ 17389 h 7007051"/>
            <a:gd name="connsiteX4" fmla="*/ 1632181 w 4639719"/>
            <a:gd name="connsiteY4" fmla="*/ 0 h 7007051"/>
            <a:gd name="connsiteX5" fmla="*/ 1644235 w 4639719"/>
            <a:gd name="connsiteY5" fmla="*/ 654878 h 7007051"/>
            <a:gd name="connsiteX6" fmla="*/ 1721297 w 4639719"/>
            <a:gd name="connsiteY6" fmla="*/ 795713 h 7007051"/>
            <a:gd name="connsiteX7" fmla="*/ 1632323 w 4639719"/>
            <a:gd name="connsiteY7" fmla="*/ 960913 h 7007051"/>
            <a:gd name="connsiteX8" fmla="*/ 1513149 w 4639719"/>
            <a:gd name="connsiteY8" fmla="*/ 1525409 h 7007051"/>
            <a:gd name="connsiteX9" fmla="*/ 921708 w 4639719"/>
            <a:gd name="connsiteY9" fmla="*/ 1996139 h 7007051"/>
            <a:gd name="connsiteX10" fmla="*/ 976715 w 4639719"/>
            <a:gd name="connsiteY10" fmla="*/ 2684695 h 7007051"/>
            <a:gd name="connsiteX11" fmla="*/ 1131846 w 4639719"/>
            <a:gd name="connsiteY11" fmla="*/ 2847314 h 7007051"/>
            <a:gd name="connsiteX12" fmla="*/ 1352121 w 4639719"/>
            <a:gd name="connsiteY12" fmla="*/ 2933809 h 7007051"/>
            <a:gd name="connsiteX13" fmla="*/ 1496066 w 4639719"/>
            <a:gd name="connsiteY13" fmla="*/ 3027600 h 7007051"/>
            <a:gd name="connsiteX14" fmla="*/ 1659678 w 4639719"/>
            <a:gd name="connsiteY14" fmla="*/ 3019537 h 7007051"/>
            <a:gd name="connsiteX15" fmla="*/ 1743033 w 4639719"/>
            <a:gd name="connsiteY15" fmla="*/ 3117980 h 7007051"/>
            <a:gd name="connsiteX16" fmla="*/ 2267072 w 4639719"/>
            <a:gd name="connsiteY16" fmla="*/ 3083752 h 7007051"/>
            <a:gd name="connsiteX17" fmla="*/ 2613430 w 4639719"/>
            <a:gd name="connsiteY17" fmla="*/ 2946469 h 7007051"/>
            <a:gd name="connsiteX18" fmla="*/ 2497674 w 4639719"/>
            <a:gd name="connsiteY18" fmla="*/ 3342223 h 7007051"/>
            <a:gd name="connsiteX19" fmla="*/ 2872045 w 4639719"/>
            <a:gd name="connsiteY19" fmla="*/ 3481342 h 7007051"/>
            <a:gd name="connsiteX20" fmla="*/ 3356020 w 4639719"/>
            <a:gd name="connsiteY20" fmla="*/ 3741583 h 7007051"/>
            <a:gd name="connsiteX21" fmla="*/ 3383911 w 4639719"/>
            <a:gd name="connsiteY21" fmla="*/ 4018854 h 7007051"/>
            <a:gd name="connsiteX22" fmla="*/ 3611651 w 4639719"/>
            <a:gd name="connsiteY22" fmla="*/ 4189085 h 7007051"/>
            <a:gd name="connsiteX23" fmla="*/ 3562243 w 4639719"/>
            <a:gd name="connsiteY23" fmla="*/ 4462626 h 7007051"/>
            <a:gd name="connsiteX24" fmla="*/ 3467805 w 4639719"/>
            <a:gd name="connsiteY24" fmla="*/ 4661583 h 7007051"/>
            <a:gd name="connsiteX25" fmla="*/ 3668060 w 4639719"/>
            <a:gd name="connsiteY25" fmla="*/ 4707646 h 7007051"/>
            <a:gd name="connsiteX26" fmla="*/ 3745746 w 4639719"/>
            <a:gd name="connsiteY26" fmla="*/ 4741627 h 7007051"/>
            <a:gd name="connsiteX27" fmla="*/ 3719012 w 4639719"/>
            <a:gd name="connsiteY27" fmla="*/ 5046272 h 7007051"/>
            <a:gd name="connsiteX28" fmla="*/ 4083088 w 4639719"/>
            <a:gd name="connsiteY28" fmla="*/ 5180238 h 7007051"/>
            <a:gd name="connsiteX29" fmla="*/ 4117263 w 4639719"/>
            <a:gd name="connsiteY29" fmla="*/ 5383001 h 7007051"/>
            <a:gd name="connsiteX30" fmla="*/ 4312130 w 4639719"/>
            <a:gd name="connsiteY30" fmla="*/ 5401041 h 7007051"/>
            <a:gd name="connsiteX31" fmla="*/ 4303586 w 4639719"/>
            <a:gd name="connsiteY31" fmla="*/ 5592777 h 7007051"/>
            <a:gd name="connsiteX32" fmla="*/ 4511503 w 4639719"/>
            <a:gd name="connsiteY32" fmla="*/ 5532287 h 7007051"/>
            <a:gd name="connsiteX33" fmla="*/ 4516414 w 4639719"/>
            <a:gd name="connsiteY33" fmla="*/ 5753106 h 7007051"/>
            <a:gd name="connsiteX34" fmla="*/ 4305076 w 4639719"/>
            <a:gd name="connsiteY34" fmla="*/ 5803898 h 7007051"/>
            <a:gd name="connsiteX35" fmla="*/ 3861533 w 4639719"/>
            <a:gd name="connsiteY35" fmla="*/ 6384094 h 7007051"/>
            <a:gd name="connsiteX36" fmla="*/ 4454205 w 4639719"/>
            <a:gd name="connsiteY36" fmla="*/ 7007051 h 7007051"/>
            <a:gd name="connsiteX37" fmla="*/ 12900 w 4639719"/>
            <a:gd name="connsiteY37" fmla="*/ 6992686 h 7007051"/>
            <a:gd name="connsiteX0" fmla="*/ 12900 w 4639719"/>
            <a:gd name="connsiteY0" fmla="*/ 6992686 h 7007051"/>
            <a:gd name="connsiteX1" fmla="*/ 12900 w 4639719"/>
            <a:gd name="connsiteY1" fmla="*/ 2611187 h 7007051"/>
            <a:gd name="connsiteX2" fmla="*/ 4000 w 4639719"/>
            <a:gd name="connsiteY2" fmla="*/ 1239764 h 7007051"/>
            <a:gd name="connsiteX3" fmla="*/ 4000 w 4639719"/>
            <a:gd name="connsiteY3" fmla="*/ 17389 h 7007051"/>
            <a:gd name="connsiteX4" fmla="*/ 1632181 w 4639719"/>
            <a:gd name="connsiteY4" fmla="*/ 0 h 7007051"/>
            <a:gd name="connsiteX5" fmla="*/ 1644235 w 4639719"/>
            <a:gd name="connsiteY5" fmla="*/ 654878 h 7007051"/>
            <a:gd name="connsiteX6" fmla="*/ 1721297 w 4639719"/>
            <a:gd name="connsiteY6" fmla="*/ 795713 h 7007051"/>
            <a:gd name="connsiteX7" fmla="*/ 1632323 w 4639719"/>
            <a:gd name="connsiteY7" fmla="*/ 960913 h 7007051"/>
            <a:gd name="connsiteX8" fmla="*/ 1513149 w 4639719"/>
            <a:gd name="connsiteY8" fmla="*/ 1525409 h 7007051"/>
            <a:gd name="connsiteX9" fmla="*/ 921708 w 4639719"/>
            <a:gd name="connsiteY9" fmla="*/ 1996139 h 7007051"/>
            <a:gd name="connsiteX10" fmla="*/ 976715 w 4639719"/>
            <a:gd name="connsiteY10" fmla="*/ 2629783 h 7007051"/>
            <a:gd name="connsiteX11" fmla="*/ 1131846 w 4639719"/>
            <a:gd name="connsiteY11" fmla="*/ 2847314 h 7007051"/>
            <a:gd name="connsiteX12" fmla="*/ 1352121 w 4639719"/>
            <a:gd name="connsiteY12" fmla="*/ 2933809 h 7007051"/>
            <a:gd name="connsiteX13" fmla="*/ 1496066 w 4639719"/>
            <a:gd name="connsiteY13" fmla="*/ 3027600 h 7007051"/>
            <a:gd name="connsiteX14" fmla="*/ 1659678 w 4639719"/>
            <a:gd name="connsiteY14" fmla="*/ 3019537 h 7007051"/>
            <a:gd name="connsiteX15" fmla="*/ 1743033 w 4639719"/>
            <a:gd name="connsiteY15" fmla="*/ 3117980 h 7007051"/>
            <a:gd name="connsiteX16" fmla="*/ 2267072 w 4639719"/>
            <a:gd name="connsiteY16" fmla="*/ 3083752 h 7007051"/>
            <a:gd name="connsiteX17" fmla="*/ 2613430 w 4639719"/>
            <a:gd name="connsiteY17" fmla="*/ 2946469 h 7007051"/>
            <a:gd name="connsiteX18" fmla="*/ 2497674 w 4639719"/>
            <a:gd name="connsiteY18" fmla="*/ 3342223 h 7007051"/>
            <a:gd name="connsiteX19" fmla="*/ 2872045 w 4639719"/>
            <a:gd name="connsiteY19" fmla="*/ 3481342 h 7007051"/>
            <a:gd name="connsiteX20" fmla="*/ 3356020 w 4639719"/>
            <a:gd name="connsiteY20" fmla="*/ 3741583 h 7007051"/>
            <a:gd name="connsiteX21" fmla="*/ 3383911 w 4639719"/>
            <a:gd name="connsiteY21" fmla="*/ 4018854 h 7007051"/>
            <a:gd name="connsiteX22" fmla="*/ 3611651 w 4639719"/>
            <a:gd name="connsiteY22" fmla="*/ 4189085 h 7007051"/>
            <a:gd name="connsiteX23" fmla="*/ 3562243 w 4639719"/>
            <a:gd name="connsiteY23" fmla="*/ 4462626 h 7007051"/>
            <a:gd name="connsiteX24" fmla="*/ 3467805 w 4639719"/>
            <a:gd name="connsiteY24" fmla="*/ 4661583 h 7007051"/>
            <a:gd name="connsiteX25" fmla="*/ 3668060 w 4639719"/>
            <a:gd name="connsiteY25" fmla="*/ 4707646 h 7007051"/>
            <a:gd name="connsiteX26" fmla="*/ 3745746 w 4639719"/>
            <a:gd name="connsiteY26" fmla="*/ 4741627 h 7007051"/>
            <a:gd name="connsiteX27" fmla="*/ 3719012 w 4639719"/>
            <a:gd name="connsiteY27" fmla="*/ 5046272 h 7007051"/>
            <a:gd name="connsiteX28" fmla="*/ 4083088 w 4639719"/>
            <a:gd name="connsiteY28" fmla="*/ 5180238 h 7007051"/>
            <a:gd name="connsiteX29" fmla="*/ 4117263 w 4639719"/>
            <a:gd name="connsiteY29" fmla="*/ 5383001 h 7007051"/>
            <a:gd name="connsiteX30" fmla="*/ 4312130 w 4639719"/>
            <a:gd name="connsiteY30" fmla="*/ 5401041 h 7007051"/>
            <a:gd name="connsiteX31" fmla="*/ 4303586 w 4639719"/>
            <a:gd name="connsiteY31" fmla="*/ 5592777 h 7007051"/>
            <a:gd name="connsiteX32" fmla="*/ 4511503 w 4639719"/>
            <a:gd name="connsiteY32" fmla="*/ 5532287 h 7007051"/>
            <a:gd name="connsiteX33" fmla="*/ 4516414 w 4639719"/>
            <a:gd name="connsiteY33" fmla="*/ 5753106 h 7007051"/>
            <a:gd name="connsiteX34" fmla="*/ 4305076 w 4639719"/>
            <a:gd name="connsiteY34" fmla="*/ 5803898 h 7007051"/>
            <a:gd name="connsiteX35" fmla="*/ 3861533 w 4639719"/>
            <a:gd name="connsiteY35" fmla="*/ 6384094 h 7007051"/>
            <a:gd name="connsiteX36" fmla="*/ 4454205 w 4639719"/>
            <a:gd name="connsiteY36" fmla="*/ 7007051 h 7007051"/>
            <a:gd name="connsiteX37" fmla="*/ 12900 w 4639719"/>
            <a:gd name="connsiteY37" fmla="*/ 6992686 h 7007051"/>
            <a:gd name="connsiteX0" fmla="*/ 12900 w 4639719"/>
            <a:gd name="connsiteY0" fmla="*/ 6992686 h 7007051"/>
            <a:gd name="connsiteX1" fmla="*/ 12900 w 4639719"/>
            <a:gd name="connsiteY1" fmla="*/ 2611187 h 7007051"/>
            <a:gd name="connsiteX2" fmla="*/ 4000 w 4639719"/>
            <a:gd name="connsiteY2" fmla="*/ 1239764 h 7007051"/>
            <a:gd name="connsiteX3" fmla="*/ 4000 w 4639719"/>
            <a:gd name="connsiteY3" fmla="*/ 17389 h 7007051"/>
            <a:gd name="connsiteX4" fmla="*/ 1632181 w 4639719"/>
            <a:gd name="connsiteY4" fmla="*/ 0 h 7007051"/>
            <a:gd name="connsiteX5" fmla="*/ 1644235 w 4639719"/>
            <a:gd name="connsiteY5" fmla="*/ 654878 h 7007051"/>
            <a:gd name="connsiteX6" fmla="*/ 1721297 w 4639719"/>
            <a:gd name="connsiteY6" fmla="*/ 795713 h 7007051"/>
            <a:gd name="connsiteX7" fmla="*/ 1632323 w 4639719"/>
            <a:gd name="connsiteY7" fmla="*/ 960913 h 7007051"/>
            <a:gd name="connsiteX8" fmla="*/ 1513149 w 4639719"/>
            <a:gd name="connsiteY8" fmla="*/ 1525409 h 7007051"/>
            <a:gd name="connsiteX9" fmla="*/ 921708 w 4639719"/>
            <a:gd name="connsiteY9" fmla="*/ 1996139 h 7007051"/>
            <a:gd name="connsiteX10" fmla="*/ 976715 w 4639719"/>
            <a:gd name="connsiteY10" fmla="*/ 2629783 h 7007051"/>
            <a:gd name="connsiteX11" fmla="*/ 1131846 w 4639719"/>
            <a:gd name="connsiteY11" fmla="*/ 2847314 h 7007051"/>
            <a:gd name="connsiteX12" fmla="*/ 1310138 w 4639719"/>
            <a:gd name="connsiteY12" fmla="*/ 2961266 h 7007051"/>
            <a:gd name="connsiteX13" fmla="*/ 1496066 w 4639719"/>
            <a:gd name="connsiteY13" fmla="*/ 3027600 h 7007051"/>
            <a:gd name="connsiteX14" fmla="*/ 1659678 w 4639719"/>
            <a:gd name="connsiteY14" fmla="*/ 3019537 h 7007051"/>
            <a:gd name="connsiteX15" fmla="*/ 1743033 w 4639719"/>
            <a:gd name="connsiteY15" fmla="*/ 3117980 h 7007051"/>
            <a:gd name="connsiteX16" fmla="*/ 2267072 w 4639719"/>
            <a:gd name="connsiteY16" fmla="*/ 3083752 h 7007051"/>
            <a:gd name="connsiteX17" fmla="*/ 2613430 w 4639719"/>
            <a:gd name="connsiteY17" fmla="*/ 2946469 h 7007051"/>
            <a:gd name="connsiteX18" fmla="*/ 2497674 w 4639719"/>
            <a:gd name="connsiteY18" fmla="*/ 3342223 h 7007051"/>
            <a:gd name="connsiteX19" fmla="*/ 2872045 w 4639719"/>
            <a:gd name="connsiteY19" fmla="*/ 3481342 h 7007051"/>
            <a:gd name="connsiteX20" fmla="*/ 3356020 w 4639719"/>
            <a:gd name="connsiteY20" fmla="*/ 3741583 h 7007051"/>
            <a:gd name="connsiteX21" fmla="*/ 3383911 w 4639719"/>
            <a:gd name="connsiteY21" fmla="*/ 4018854 h 7007051"/>
            <a:gd name="connsiteX22" fmla="*/ 3611651 w 4639719"/>
            <a:gd name="connsiteY22" fmla="*/ 4189085 h 7007051"/>
            <a:gd name="connsiteX23" fmla="*/ 3562243 w 4639719"/>
            <a:gd name="connsiteY23" fmla="*/ 4462626 h 7007051"/>
            <a:gd name="connsiteX24" fmla="*/ 3467805 w 4639719"/>
            <a:gd name="connsiteY24" fmla="*/ 4661583 h 7007051"/>
            <a:gd name="connsiteX25" fmla="*/ 3668060 w 4639719"/>
            <a:gd name="connsiteY25" fmla="*/ 4707646 h 7007051"/>
            <a:gd name="connsiteX26" fmla="*/ 3745746 w 4639719"/>
            <a:gd name="connsiteY26" fmla="*/ 4741627 h 7007051"/>
            <a:gd name="connsiteX27" fmla="*/ 3719012 w 4639719"/>
            <a:gd name="connsiteY27" fmla="*/ 5046272 h 7007051"/>
            <a:gd name="connsiteX28" fmla="*/ 4083088 w 4639719"/>
            <a:gd name="connsiteY28" fmla="*/ 5180238 h 7007051"/>
            <a:gd name="connsiteX29" fmla="*/ 4117263 w 4639719"/>
            <a:gd name="connsiteY29" fmla="*/ 5383001 h 7007051"/>
            <a:gd name="connsiteX30" fmla="*/ 4312130 w 4639719"/>
            <a:gd name="connsiteY30" fmla="*/ 5401041 h 7007051"/>
            <a:gd name="connsiteX31" fmla="*/ 4303586 w 4639719"/>
            <a:gd name="connsiteY31" fmla="*/ 5592777 h 7007051"/>
            <a:gd name="connsiteX32" fmla="*/ 4511503 w 4639719"/>
            <a:gd name="connsiteY32" fmla="*/ 5532287 h 7007051"/>
            <a:gd name="connsiteX33" fmla="*/ 4516414 w 4639719"/>
            <a:gd name="connsiteY33" fmla="*/ 5753106 h 7007051"/>
            <a:gd name="connsiteX34" fmla="*/ 4305076 w 4639719"/>
            <a:gd name="connsiteY34" fmla="*/ 5803898 h 7007051"/>
            <a:gd name="connsiteX35" fmla="*/ 3861533 w 4639719"/>
            <a:gd name="connsiteY35" fmla="*/ 6384094 h 7007051"/>
            <a:gd name="connsiteX36" fmla="*/ 4454205 w 4639719"/>
            <a:gd name="connsiteY36" fmla="*/ 7007051 h 7007051"/>
            <a:gd name="connsiteX37" fmla="*/ 12900 w 4639719"/>
            <a:gd name="connsiteY37" fmla="*/ 6992686 h 7007051"/>
            <a:gd name="connsiteX0" fmla="*/ 12900 w 4639719"/>
            <a:gd name="connsiteY0" fmla="*/ 6992686 h 7007051"/>
            <a:gd name="connsiteX1" fmla="*/ 12900 w 4639719"/>
            <a:gd name="connsiteY1" fmla="*/ 2611187 h 7007051"/>
            <a:gd name="connsiteX2" fmla="*/ 4000 w 4639719"/>
            <a:gd name="connsiteY2" fmla="*/ 1239764 h 7007051"/>
            <a:gd name="connsiteX3" fmla="*/ 4000 w 4639719"/>
            <a:gd name="connsiteY3" fmla="*/ 17389 h 7007051"/>
            <a:gd name="connsiteX4" fmla="*/ 1632181 w 4639719"/>
            <a:gd name="connsiteY4" fmla="*/ 0 h 7007051"/>
            <a:gd name="connsiteX5" fmla="*/ 1644235 w 4639719"/>
            <a:gd name="connsiteY5" fmla="*/ 654878 h 7007051"/>
            <a:gd name="connsiteX6" fmla="*/ 1721297 w 4639719"/>
            <a:gd name="connsiteY6" fmla="*/ 795713 h 7007051"/>
            <a:gd name="connsiteX7" fmla="*/ 1632323 w 4639719"/>
            <a:gd name="connsiteY7" fmla="*/ 960913 h 7007051"/>
            <a:gd name="connsiteX8" fmla="*/ 1513149 w 4639719"/>
            <a:gd name="connsiteY8" fmla="*/ 1525409 h 7007051"/>
            <a:gd name="connsiteX9" fmla="*/ 921708 w 4639719"/>
            <a:gd name="connsiteY9" fmla="*/ 1996139 h 7007051"/>
            <a:gd name="connsiteX10" fmla="*/ 976715 w 4639719"/>
            <a:gd name="connsiteY10" fmla="*/ 2629783 h 7007051"/>
            <a:gd name="connsiteX11" fmla="*/ 1131846 w 4639719"/>
            <a:gd name="connsiteY11" fmla="*/ 2847314 h 7007051"/>
            <a:gd name="connsiteX12" fmla="*/ 1310138 w 4639719"/>
            <a:gd name="connsiteY12" fmla="*/ 2961266 h 7007051"/>
            <a:gd name="connsiteX13" fmla="*/ 1496066 w 4639719"/>
            <a:gd name="connsiteY13" fmla="*/ 3027600 h 7007051"/>
            <a:gd name="connsiteX14" fmla="*/ 1628191 w 4639719"/>
            <a:gd name="connsiteY14" fmla="*/ 3074450 h 7007051"/>
            <a:gd name="connsiteX15" fmla="*/ 1743033 w 4639719"/>
            <a:gd name="connsiteY15" fmla="*/ 3117980 h 7007051"/>
            <a:gd name="connsiteX16" fmla="*/ 2267072 w 4639719"/>
            <a:gd name="connsiteY16" fmla="*/ 3083752 h 7007051"/>
            <a:gd name="connsiteX17" fmla="*/ 2613430 w 4639719"/>
            <a:gd name="connsiteY17" fmla="*/ 2946469 h 7007051"/>
            <a:gd name="connsiteX18" fmla="*/ 2497674 w 4639719"/>
            <a:gd name="connsiteY18" fmla="*/ 3342223 h 7007051"/>
            <a:gd name="connsiteX19" fmla="*/ 2872045 w 4639719"/>
            <a:gd name="connsiteY19" fmla="*/ 3481342 h 7007051"/>
            <a:gd name="connsiteX20" fmla="*/ 3356020 w 4639719"/>
            <a:gd name="connsiteY20" fmla="*/ 3741583 h 7007051"/>
            <a:gd name="connsiteX21" fmla="*/ 3383911 w 4639719"/>
            <a:gd name="connsiteY21" fmla="*/ 4018854 h 7007051"/>
            <a:gd name="connsiteX22" fmla="*/ 3611651 w 4639719"/>
            <a:gd name="connsiteY22" fmla="*/ 4189085 h 7007051"/>
            <a:gd name="connsiteX23" fmla="*/ 3562243 w 4639719"/>
            <a:gd name="connsiteY23" fmla="*/ 4462626 h 7007051"/>
            <a:gd name="connsiteX24" fmla="*/ 3467805 w 4639719"/>
            <a:gd name="connsiteY24" fmla="*/ 4661583 h 7007051"/>
            <a:gd name="connsiteX25" fmla="*/ 3668060 w 4639719"/>
            <a:gd name="connsiteY25" fmla="*/ 4707646 h 7007051"/>
            <a:gd name="connsiteX26" fmla="*/ 3745746 w 4639719"/>
            <a:gd name="connsiteY26" fmla="*/ 4741627 h 7007051"/>
            <a:gd name="connsiteX27" fmla="*/ 3719012 w 4639719"/>
            <a:gd name="connsiteY27" fmla="*/ 5046272 h 7007051"/>
            <a:gd name="connsiteX28" fmla="*/ 4083088 w 4639719"/>
            <a:gd name="connsiteY28" fmla="*/ 5180238 h 7007051"/>
            <a:gd name="connsiteX29" fmla="*/ 4117263 w 4639719"/>
            <a:gd name="connsiteY29" fmla="*/ 5383001 h 7007051"/>
            <a:gd name="connsiteX30" fmla="*/ 4312130 w 4639719"/>
            <a:gd name="connsiteY30" fmla="*/ 5401041 h 7007051"/>
            <a:gd name="connsiteX31" fmla="*/ 4303586 w 4639719"/>
            <a:gd name="connsiteY31" fmla="*/ 5592777 h 7007051"/>
            <a:gd name="connsiteX32" fmla="*/ 4511503 w 4639719"/>
            <a:gd name="connsiteY32" fmla="*/ 5532287 h 7007051"/>
            <a:gd name="connsiteX33" fmla="*/ 4516414 w 4639719"/>
            <a:gd name="connsiteY33" fmla="*/ 5753106 h 7007051"/>
            <a:gd name="connsiteX34" fmla="*/ 4305076 w 4639719"/>
            <a:gd name="connsiteY34" fmla="*/ 5803898 h 7007051"/>
            <a:gd name="connsiteX35" fmla="*/ 3861533 w 4639719"/>
            <a:gd name="connsiteY35" fmla="*/ 6384094 h 7007051"/>
            <a:gd name="connsiteX36" fmla="*/ 4454205 w 4639719"/>
            <a:gd name="connsiteY36" fmla="*/ 7007051 h 7007051"/>
            <a:gd name="connsiteX37" fmla="*/ 12900 w 4639719"/>
            <a:gd name="connsiteY37" fmla="*/ 6992686 h 7007051"/>
            <a:gd name="connsiteX0" fmla="*/ 12900 w 4639719"/>
            <a:gd name="connsiteY0" fmla="*/ 6992686 h 7007051"/>
            <a:gd name="connsiteX1" fmla="*/ 12900 w 4639719"/>
            <a:gd name="connsiteY1" fmla="*/ 2611187 h 7007051"/>
            <a:gd name="connsiteX2" fmla="*/ 4000 w 4639719"/>
            <a:gd name="connsiteY2" fmla="*/ 1239764 h 7007051"/>
            <a:gd name="connsiteX3" fmla="*/ 4000 w 4639719"/>
            <a:gd name="connsiteY3" fmla="*/ 17389 h 7007051"/>
            <a:gd name="connsiteX4" fmla="*/ 1632181 w 4639719"/>
            <a:gd name="connsiteY4" fmla="*/ 0 h 7007051"/>
            <a:gd name="connsiteX5" fmla="*/ 1644235 w 4639719"/>
            <a:gd name="connsiteY5" fmla="*/ 654878 h 7007051"/>
            <a:gd name="connsiteX6" fmla="*/ 1721297 w 4639719"/>
            <a:gd name="connsiteY6" fmla="*/ 795713 h 7007051"/>
            <a:gd name="connsiteX7" fmla="*/ 1632323 w 4639719"/>
            <a:gd name="connsiteY7" fmla="*/ 960913 h 7007051"/>
            <a:gd name="connsiteX8" fmla="*/ 1513149 w 4639719"/>
            <a:gd name="connsiteY8" fmla="*/ 1525409 h 7007051"/>
            <a:gd name="connsiteX9" fmla="*/ 921708 w 4639719"/>
            <a:gd name="connsiteY9" fmla="*/ 1996139 h 7007051"/>
            <a:gd name="connsiteX10" fmla="*/ 976715 w 4639719"/>
            <a:gd name="connsiteY10" fmla="*/ 2629783 h 7007051"/>
            <a:gd name="connsiteX11" fmla="*/ 1131846 w 4639719"/>
            <a:gd name="connsiteY11" fmla="*/ 2847314 h 7007051"/>
            <a:gd name="connsiteX12" fmla="*/ 1310138 w 4639719"/>
            <a:gd name="connsiteY12" fmla="*/ 2961266 h 7007051"/>
            <a:gd name="connsiteX13" fmla="*/ 1496066 w 4639719"/>
            <a:gd name="connsiteY13" fmla="*/ 3027600 h 7007051"/>
            <a:gd name="connsiteX14" fmla="*/ 1628191 w 4639719"/>
            <a:gd name="connsiteY14" fmla="*/ 3074450 h 7007051"/>
            <a:gd name="connsiteX15" fmla="*/ 1743033 w 4639719"/>
            <a:gd name="connsiteY15" fmla="*/ 3117980 h 7007051"/>
            <a:gd name="connsiteX16" fmla="*/ 2267072 w 4639719"/>
            <a:gd name="connsiteY16" fmla="*/ 3083752 h 7007051"/>
            <a:gd name="connsiteX17" fmla="*/ 2613430 w 4639719"/>
            <a:gd name="connsiteY17" fmla="*/ 2946469 h 7007051"/>
            <a:gd name="connsiteX18" fmla="*/ 2550152 w 4639719"/>
            <a:gd name="connsiteY18" fmla="*/ 3369679 h 7007051"/>
            <a:gd name="connsiteX19" fmla="*/ 2872045 w 4639719"/>
            <a:gd name="connsiteY19" fmla="*/ 3481342 h 7007051"/>
            <a:gd name="connsiteX20" fmla="*/ 3356020 w 4639719"/>
            <a:gd name="connsiteY20" fmla="*/ 3741583 h 7007051"/>
            <a:gd name="connsiteX21" fmla="*/ 3383911 w 4639719"/>
            <a:gd name="connsiteY21" fmla="*/ 4018854 h 7007051"/>
            <a:gd name="connsiteX22" fmla="*/ 3611651 w 4639719"/>
            <a:gd name="connsiteY22" fmla="*/ 4189085 h 7007051"/>
            <a:gd name="connsiteX23" fmla="*/ 3562243 w 4639719"/>
            <a:gd name="connsiteY23" fmla="*/ 4462626 h 7007051"/>
            <a:gd name="connsiteX24" fmla="*/ 3467805 w 4639719"/>
            <a:gd name="connsiteY24" fmla="*/ 4661583 h 7007051"/>
            <a:gd name="connsiteX25" fmla="*/ 3668060 w 4639719"/>
            <a:gd name="connsiteY25" fmla="*/ 4707646 h 7007051"/>
            <a:gd name="connsiteX26" fmla="*/ 3745746 w 4639719"/>
            <a:gd name="connsiteY26" fmla="*/ 4741627 h 7007051"/>
            <a:gd name="connsiteX27" fmla="*/ 3719012 w 4639719"/>
            <a:gd name="connsiteY27" fmla="*/ 5046272 h 7007051"/>
            <a:gd name="connsiteX28" fmla="*/ 4083088 w 4639719"/>
            <a:gd name="connsiteY28" fmla="*/ 5180238 h 7007051"/>
            <a:gd name="connsiteX29" fmla="*/ 4117263 w 4639719"/>
            <a:gd name="connsiteY29" fmla="*/ 5383001 h 7007051"/>
            <a:gd name="connsiteX30" fmla="*/ 4312130 w 4639719"/>
            <a:gd name="connsiteY30" fmla="*/ 5401041 h 7007051"/>
            <a:gd name="connsiteX31" fmla="*/ 4303586 w 4639719"/>
            <a:gd name="connsiteY31" fmla="*/ 5592777 h 7007051"/>
            <a:gd name="connsiteX32" fmla="*/ 4511503 w 4639719"/>
            <a:gd name="connsiteY32" fmla="*/ 5532287 h 7007051"/>
            <a:gd name="connsiteX33" fmla="*/ 4516414 w 4639719"/>
            <a:gd name="connsiteY33" fmla="*/ 5753106 h 7007051"/>
            <a:gd name="connsiteX34" fmla="*/ 4305076 w 4639719"/>
            <a:gd name="connsiteY34" fmla="*/ 5803898 h 7007051"/>
            <a:gd name="connsiteX35" fmla="*/ 3861533 w 4639719"/>
            <a:gd name="connsiteY35" fmla="*/ 6384094 h 7007051"/>
            <a:gd name="connsiteX36" fmla="*/ 4454205 w 4639719"/>
            <a:gd name="connsiteY36" fmla="*/ 7007051 h 7007051"/>
            <a:gd name="connsiteX37" fmla="*/ 12900 w 4639719"/>
            <a:gd name="connsiteY37" fmla="*/ 6992686 h 7007051"/>
            <a:gd name="connsiteX0" fmla="*/ 12900 w 4639719"/>
            <a:gd name="connsiteY0" fmla="*/ 6992686 h 7007051"/>
            <a:gd name="connsiteX1" fmla="*/ 12900 w 4639719"/>
            <a:gd name="connsiteY1" fmla="*/ 2611187 h 7007051"/>
            <a:gd name="connsiteX2" fmla="*/ 4000 w 4639719"/>
            <a:gd name="connsiteY2" fmla="*/ 1239764 h 7007051"/>
            <a:gd name="connsiteX3" fmla="*/ 4000 w 4639719"/>
            <a:gd name="connsiteY3" fmla="*/ 17389 h 7007051"/>
            <a:gd name="connsiteX4" fmla="*/ 1632181 w 4639719"/>
            <a:gd name="connsiteY4" fmla="*/ 0 h 7007051"/>
            <a:gd name="connsiteX5" fmla="*/ 1644235 w 4639719"/>
            <a:gd name="connsiteY5" fmla="*/ 654878 h 7007051"/>
            <a:gd name="connsiteX6" fmla="*/ 1721297 w 4639719"/>
            <a:gd name="connsiteY6" fmla="*/ 795713 h 7007051"/>
            <a:gd name="connsiteX7" fmla="*/ 1632323 w 4639719"/>
            <a:gd name="connsiteY7" fmla="*/ 960913 h 7007051"/>
            <a:gd name="connsiteX8" fmla="*/ 1513149 w 4639719"/>
            <a:gd name="connsiteY8" fmla="*/ 1525409 h 7007051"/>
            <a:gd name="connsiteX9" fmla="*/ 921708 w 4639719"/>
            <a:gd name="connsiteY9" fmla="*/ 1996139 h 7007051"/>
            <a:gd name="connsiteX10" fmla="*/ 976715 w 4639719"/>
            <a:gd name="connsiteY10" fmla="*/ 2629783 h 7007051"/>
            <a:gd name="connsiteX11" fmla="*/ 1131846 w 4639719"/>
            <a:gd name="connsiteY11" fmla="*/ 2847314 h 7007051"/>
            <a:gd name="connsiteX12" fmla="*/ 1310138 w 4639719"/>
            <a:gd name="connsiteY12" fmla="*/ 2961266 h 7007051"/>
            <a:gd name="connsiteX13" fmla="*/ 1496066 w 4639719"/>
            <a:gd name="connsiteY13" fmla="*/ 3027600 h 7007051"/>
            <a:gd name="connsiteX14" fmla="*/ 1628191 w 4639719"/>
            <a:gd name="connsiteY14" fmla="*/ 3074450 h 7007051"/>
            <a:gd name="connsiteX15" fmla="*/ 1743033 w 4639719"/>
            <a:gd name="connsiteY15" fmla="*/ 3117980 h 7007051"/>
            <a:gd name="connsiteX16" fmla="*/ 2267072 w 4639719"/>
            <a:gd name="connsiteY16" fmla="*/ 3083752 h 7007051"/>
            <a:gd name="connsiteX17" fmla="*/ 2718388 w 4639719"/>
            <a:gd name="connsiteY17" fmla="*/ 2992230 h 7007051"/>
            <a:gd name="connsiteX18" fmla="*/ 2550152 w 4639719"/>
            <a:gd name="connsiteY18" fmla="*/ 3369679 h 7007051"/>
            <a:gd name="connsiteX19" fmla="*/ 2872045 w 4639719"/>
            <a:gd name="connsiteY19" fmla="*/ 3481342 h 7007051"/>
            <a:gd name="connsiteX20" fmla="*/ 3356020 w 4639719"/>
            <a:gd name="connsiteY20" fmla="*/ 3741583 h 7007051"/>
            <a:gd name="connsiteX21" fmla="*/ 3383911 w 4639719"/>
            <a:gd name="connsiteY21" fmla="*/ 4018854 h 7007051"/>
            <a:gd name="connsiteX22" fmla="*/ 3611651 w 4639719"/>
            <a:gd name="connsiteY22" fmla="*/ 4189085 h 7007051"/>
            <a:gd name="connsiteX23" fmla="*/ 3562243 w 4639719"/>
            <a:gd name="connsiteY23" fmla="*/ 4462626 h 7007051"/>
            <a:gd name="connsiteX24" fmla="*/ 3467805 w 4639719"/>
            <a:gd name="connsiteY24" fmla="*/ 4661583 h 7007051"/>
            <a:gd name="connsiteX25" fmla="*/ 3668060 w 4639719"/>
            <a:gd name="connsiteY25" fmla="*/ 4707646 h 7007051"/>
            <a:gd name="connsiteX26" fmla="*/ 3745746 w 4639719"/>
            <a:gd name="connsiteY26" fmla="*/ 4741627 h 7007051"/>
            <a:gd name="connsiteX27" fmla="*/ 3719012 w 4639719"/>
            <a:gd name="connsiteY27" fmla="*/ 5046272 h 7007051"/>
            <a:gd name="connsiteX28" fmla="*/ 4083088 w 4639719"/>
            <a:gd name="connsiteY28" fmla="*/ 5180238 h 7007051"/>
            <a:gd name="connsiteX29" fmla="*/ 4117263 w 4639719"/>
            <a:gd name="connsiteY29" fmla="*/ 5383001 h 7007051"/>
            <a:gd name="connsiteX30" fmla="*/ 4312130 w 4639719"/>
            <a:gd name="connsiteY30" fmla="*/ 5401041 h 7007051"/>
            <a:gd name="connsiteX31" fmla="*/ 4303586 w 4639719"/>
            <a:gd name="connsiteY31" fmla="*/ 5592777 h 7007051"/>
            <a:gd name="connsiteX32" fmla="*/ 4511503 w 4639719"/>
            <a:gd name="connsiteY32" fmla="*/ 5532287 h 7007051"/>
            <a:gd name="connsiteX33" fmla="*/ 4516414 w 4639719"/>
            <a:gd name="connsiteY33" fmla="*/ 5753106 h 7007051"/>
            <a:gd name="connsiteX34" fmla="*/ 4305076 w 4639719"/>
            <a:gd name="connsiteY34" fmla="*/ 5803898 h 7007051"/>
            <a:gd name="connsiteX35" fmla="*/ 3861533 w 4639719"/>
            <a:gd name="connsiteY35" fmla="*/ 6384094 h 7007051"/>
            <a:gd name="connsiteX36" fmla="*/ 4454205 w 4639719"/>
            <a:gd name="connsiteY36" fmla="*/ 7007051 h 7007051"/>
            <a:gd name="connsiteX37" fmla="*/ 12900 w 4639719"/>
            <a:gd name="connsiteY37" fmla="*/ 6992686 h 7007051"/>
            <a:gd name="connsiteX0" fmla="*/ 12900 w 4639719"/>
            <a:gd name="connsiteY0" fmla="*/ 6992686 h 7007051"/>
            <a:gd name="connsiteX1" fmla="*/ 12900 w 4639719"/>
            <a:gd name="connsiteY1" fmla="*/ 2611187 h 7007051"/>
            <a:gd name="connsiteX2" fmla="*/ 4000 w 4639719"/>
            <a:gd name="connsiteY2" fmla="*/ 1239764 h 7007051"/>
            <a:gd name="connsiteX3" fmla="*/ 4000 w 4639719"/>
            <a:gd name="connsiteY3" fmla="*/ 17389 h 7007051"/>
            <a:gd name="connsiteX4" fmla="*/ 1632181 w 4639719"/>
            <a:gd name="connsiteY4" fmla="*/ 0 h 7007051"/>
            <a:gd name="connsiteX5" fmla="*/ 1644235 w 4639719"/>
            <a:gd name="connsiteY5" fmla="*/ 654878 h 7007051"/>
            <a:gd name="connsiteX6" fmla="*/ 1721297 w 4639719"/>
            <a:gd name="connsiteY6" fmla="*/ 795713 h 7007051"/>
            <a:gd name="connsiteX7" fmla="*/ 1632323 w 4639719"/>
            <a:gd name="connsiteY7" fmla="*/ 960913 h 7007051"/>
            <a:gd name="connsiteX8" fmla="*/ 1513149 w 4639719"/>
            <a:gd name="connsiteY8" fmla="*/ 1525409 h 7007051"/>
            <a:gd name="connsiteX9" fmla="*/ 921708 w 4639719"/>
            <a:gd name="connsiteY9" fmla="*/ 1996139 h 7007051"/>
            <a:gd name="connsiteX10" fmla="*/ 976715 w 4639719"/>
            <a:gd name="connsiteY10" fmla="*/ 2629783 h 7007051"/>
            <a:gd name="connsiteX11" fmla="*/ 1131846 w 4639719"/>
            <a:gd name="connsiteY11" fmla="*/ 2847314 h 7007051"/>
            <a:gd name="connsiteX12" fmla="*/ 1310138 w 4639719"/>
            <a:gd name="connsiteY12" fmla="*/ 2961266 h 7007051"/>
            <a:gd name="connsiteX13" fmla="*/ 1496066 w 4639719"/>
            <a:gd name="connsiteY13" fmla="*/ 3027600 h 7007051"/>
            <a:gd name="connsiteX14" fmla="*/ 1670174 w 4639719"/>
            <a:gd name="connsiteY14" fmla="*/ 3010385 h 7007051"/>
            <a:gd name="connsiteX15" fmla="*/ 1743033 w 4639719"/>
            <a:gd name="connsiteY15" fmla="*/ 3117980 h 7007051"/>
            <a:gd name="connsiteX16" fmla="*/ 2267072 w 4639719"/>
            <a:gd name="connsiteY16" fmla="*/ 3083752 h 7007051"/>
            <a:gd name="connsiteX17" fmla="*/ 2718388 w 4639719"/>
            <a:gd name="connsiteY17" fmla="*/ 2992230 h 7007051"/>
            <a:gd name="connsiteX18" fmla="*/ 2550152 w 4639719"/>
            <a:gd name="connsiteY18" fmla="*/ 3369679 h 7007051"/>
            <a:gd name="connsiteX19" fmla="*/ 2872045 w 4639719"/>
            <a:gd name="connsiteY19" fmla="*/ 3481342 h 7007051"/>
            <a:gd name="connsiteX20" fmla="*/ 3356020 w 4639719"/>
            <a:gd name="connsiteY20" fmla="*/ 3741583 h 7007051"/>
            <a:gd name="connsiteX21" fmla="*/ 3383911 w 4639719"/>
            <a:gd name="connsiteY21" fmla="*/ 4018854 h 7007051"/>
            <a:gd name="connsiteX22" fmla="*/ 3611651 w 4639719"/>
            <a:gd name="connsiteY22" fmla="*/ 4189085 h 7007051"/>
            <a:gd name="connsiteX23" fmla="*/ 3562243 w 4639719"/>
            <a:gd name="connsiteY23" fmla="*/ 4462626 h 7007051"/>
            <a:gd name="connsiteX24" fmla="*/ 3467805 w 4639719"/>
            <a:gd name="connsiteY24" fmla="*/ 4661583 h 7007051"/>
            <a:gd name="connsiteX25" fmla="*/ 3668060 w 4639719"/>
            <a:gd name="connsiteY25" fmla="*/ 4707646 h 7007051"/>
            <a:gd name="connsiteX26" fmla="*/ 3745746 w 4639719"/>
            <a:gd name="connsiteY26" fmla="*/ 4741627 h 7007051"/>
            <a:gd name="connsiteX27" fmla="*/ 3719012 w 4639719"/>
            <a:gd name="connsiteY27" fmla="*/ 5046272 h 7007051"/>
            <a:gd name="connsiteX28" fmla="*/ 4083088 w 4639719"/>
            <a:gd name="connsiteY28" fmla="*/ 5180238 h 7007051"/>
            <a:gd name="connsiteX29" fmla="*/ 4117263 w 4639719"/>
            <a:gd name="connsiteY29" fmla="*/ 5383001 h 7007051"/>
            <a:gd name="connsiteX30" fmla="*/ 4312130 w 4639719"/>
            <a:gd name="connsiteY30" fmla="*/ 5401041 h 7007051"/>
            <a:gd name="connsiteX31" fmla="*/ 4303586 w 4639719"/>
            <a:gd name="connsiteY31" fmla="*/ 5592777 h 7007051"/>
            <a:gd name="connsiteX32" fmla="*/ 4511503 w 4639719"/>
            <a:gd name="connsiteY32" fmla="*/ 5532287 h 7007051"/>
            <a:gd name="connsiteX33" fmla="*/ 4516414 w 4639719"/>
            <a:gd name="connsiteY33" fmla="*/ 5753106 h 7007051"/>
            <a:gd name="connsiteX34" fmla="*/ 4305076 w 4639719"/>
            <a:gd name="connsiteY34" fmla="*/ 5803898 h 7007051"/>
            <a:gd name="connsiteX35" fmla="*/ 3861533 w 4639719"/>
            <a:gd name="connsiteY35" fmla="*/ 6384094 h 7007051"/>
            <a:gd name="connsiteX36" fmla="*/ 4454205 w 4639719"/>
            <a:gd name="connsiteY36" fmla="*/ 7007051 h 7007051"/>
            <a:gd name="connsiteX37" fmla="*/ 12900 w 4639719"/>
            <a:gd name="connsiteY37" fmla="*/ 6992686 h 7007051"/>
            <a:gd name="connsiteX0" fmla="*/ 12900 w 4639719"/>
            <a:gd name="connsiteY0" fmla="*/ 6992686 h 7007051"/>
            <a:gd name="connsiteX1" fmla="*/ 12900 w 4639719"/>
            <a:gd name="connsiteY1" fmla="*/ 2611187 h 7007051"/>
            <a:gd name="connsiteX2" fmla="*/ 4000 w 4639719"/>
            <a:gd name="connsiteY2" fmla="*/ 1239764 h 7007051"/>
            <a:gd name="connsiteX3" fmla="*/ 4000 w 4639719"/>
            <a:gd name="connsiteY3" fmla="*/ 17389 h 7007051"/>
            <a:gd name="connsiteX4" fmla="*/ 1632181 w 4639719"/>
            <a:gd name="connsiteY4" fmla="*/ 0 h 7007051"/>
            <a:gd name="connsiteX5" fmla="*/ 1644235 w 4639719"/>
            <a:gd name="connsiteY5" fmla="*/ 654878 h 7007051"/>
            <a:gd name="connsiteX6" fmla="*/ 1721297 w 4639719"/>
            <a:gd name="connsiteY6" fmla="*/ 795713 h 7007051"/>
            <a:gd name="connsiteX7" fmla="*/ 1632323 w 4639719"/>
            <a:gd name="connsiteY7" fmla="*/ 960913 h 7007051"/>
            <a:gd name="connsiteX8" fmla="*/ 1555131 w 4639719"/>
            <a:gd name="connsiteY8" fmla="*/ 1525409 h 7007051"/>
            <a:gd name="connsiteX9" fmla="*/ 921708 w 4639719"/>
            <a:gd name="connsiteY9" fmla="*/ 1996139 h 7007051"/>
            <a:gd name="connsiteX10" fmla="*/ 976715 w 4639719"/>
            <a:gd name="connsiteY10" fmla="*/ 2629783 h 7007051"/>
            <a:gd name="connsiteX11" fmla="*/ 1131846 w 4639719"/>
            <a:gd name="connsiteY11" fmla="*/ 2847314 h 7007051"/>
            <a:gd name="connsiteX12" fmla="*/ 1310138 w 4639719"/>
            <a:gd name="connsiteY12" fmla="*/ 2961266 h 7007051"/>
            <a:gd name="connsiteX13" fmla="*/ 1496066 w 4639719"/>
            <a:gd name="connsiteY13" fmla="*/ 3027600 h 7007051"/>
            <a:gd name="connsiteX14" fmla="*/ 1670174 w 4639719"/>
            <a:gd name="connsiteY14" fmla="*/ 3010385 h 7007051"/>
            <a:gd name="connsiteX15" fmla="*/ 1743033 w 4639719"/>
            <a:gd name="connsiteY15" fmla="*/ 3117980 h 7007051"/>
            <a:gd name="connsiteX16" fmla="*/ 2267072 w 4639719"/>
            <a:gd name="connsiteY16" fmla="*/ 3083752 h 7007051"/>
            <a:gd name="connsiteX17" fmla="*/ 2718388 w 4639719"/>
            <a:gd name="connsiteY17" fmla="*/ 2992230 h 7007051"/>
            <a:gd name="connsiteX18" fmla="*/ 2550152 w 4639719"/>
            <a:gd name="connsiteY18" fmla="*/ 3369679 h 7007051"/>
            <a:gd name="connsiteX19" fmla="*/ 2872045 w 4639719"/>
            <a:gd name="connsiteY19" fmla="*/ 3481342 h 7007051"/>
            <a:gd name="connsiteX20" fmla="*/ 3356020 w 4639719"/>
            <a:gd name="connsiteY20" fmla="*/ 3741583 h 7007051"/>
            <a:gd name="connsiteX21" fmla="*/ 3383911 w 4639719"/>
            <a:gd name="connsiteY21" fmla="*/ 4018854 h 7007051"/>
            <a:gd name="connsiteX22" fmla="*/ 3611651 w 4639719"/>
            <a:gd name="connsiteY22" fmla="*/ 4189085 h 7007051"/>
            <a:gd name="connsiteX23" fmla="*/ 3562243 w 4639719"/>
            <a:gd name="connsiteY23" fmla="*/ 4462626 h 7007051"/>
            <a:gd name="connsiteX24" fmla="*/ 3467805 w 4639719"/>
            <a:gd name="connsiteY24" fmla="*/ 4661583 h 7007051"/>
            <a:gd name="connsiteX25" fmla="*/ 3668060 w 4639719"/>
            <a:gd name="connsiteY25" fmla="*/ 4707646 h 7007051"/>
            <a:gd name="connsiteX26" fmla="*/ 3745746 w 4639719"/>
            <a:gd name="connsiteY26" fmla="*/ 4741627 h 7007051"/>
            <a:gd name="connsiteX27" fmla="*/ 3719012 w 4639719"/>
            <a:gd name="connsiteY27" fmla="*/ 5046272 h 7007051"/>
            <a:gd name="connsiteX28" fmla="*/ 4083088 w 4639719"/>
            <a:gd name="connsiteY28" fmla="*/ 5180238 h 7007051"/>
            <a:gd name="connsiteX29" fmla="*/ 4117263 w 4639719"/>
            <a:gd name="connsiteY29" fmla="*/ 5383001 h 7007051"/>
            <a:gd name="connsiteX30" fmla="*/ 4312130 w 4639719"/>
            <a:gd name="connsiteY30" fmla="*/ 5401041 h 7007051"/>
            <a:gd name="connsiteX31" fmla="*/ 4303586 w 4639719"/>
            <a:gd name="connsiteY31" fmla="*/ 5592777 h 7007051"/>
            <a:gd name="connsiteX32" fmla="*/ 4511503 w 4639719"/>
            <a:gd name="connsiteY32" fmla="*/ 5532287 h 7007051"/>
            <a:gd name="connsiteX33" fmla="*/ 4516414 w 4639719"/>
            <a:gd name="connsiteY33" fmla="*/ 5753106 h 7007051"/>
            <a:gd name="connsiteX34" fmla="*/ 4305076 w 4639719"/>
            <a:gd name="connsiteY34" fmla="*/ 5803898 h 7007051"/>
            <a:gd name="connsiteX35" fmla="*/ 3861533 w 4639719"/>
            <a:gd name="connsiteY35" fmla="*/ 6384094 h 7007051"/>
            <a:gd name="connsiteX36" fmla="*/ 4454205 w 4639719"/>
            <a:gd name="connsiteY36" fmla="*/ 7007051 h 7007051"/>
            <a:gd name="connsiteX37" fmla="*/ 12900 w 4639719"/>
            <a:gd name="connsiteY37" fmla="*/ 6992686 h 7007051"/>
            <a:gd name="connsiteX0" fmla="*/ 12900 w 4639719"/>
            <a:gd name="connsiteY0" fmla="*/ 6992686 h 7007051"/>
            <a:gd name="connsiteX1" fmla="*/ 12900 w 4639719"/>
            <a:gd name="connsiteY1" fmla="*/ 2611187 h 7007051"/>
            <a:gd name="connsiteX2" fmla="*/ 4000 w 4639719"/>
            <a:gd name="connsiteY2" fmla="*/ 1239764 h 7007051"/>
            <a:gd name="connsiteX3" fmla="*/ 4000 w 4639719"/>
            <a:gd name="connsiteY3" fmla="*/ 17389 h 7007051"/>
            <a:gd name="connsiteX4" fmla="*/ 1632181 w 4639719"/>
            <a:gd name="connsiteY4" fmla="*/ 0 h 7007051"/>
            <a:gd name="connsiteX5" fmla="*/ 1644235 w 4639719"/>
            <a:gd name="connsiteY5" fmla="*/ 654878 h 7007051"/>
            <a:gd name="connsiteX6" fmla="*/ 1721297 w 4639719"/>
            <a:gd name="connsiteY6" fmla="*/ 795713 h 7007051"/>
            <a:gd name="connsiteX7" fmla="*/ 1632323 w 4639719"/>
            <a:gd name="connsiteY7" fmla="*/ 960913 h 7007051"/>
            <a:gd name="connsiteX8" fmla="*/ 1555131 w 4639719"/>
            <a:gd name="connsiteY8" fmla="*/ 1525409 h 7007051"/>
            <a:gd name="connsiteX9" fmla="*/ 1026665 w 4639719"/>
            <a:gd name="connsiteY9" fmla="*/ 2014444 h 7007051"/>
            <a:gd name="connsiteX10" fmla="*/ 976715 w 4639719"/>
            <a:gd name="connsiteY10" fmla="*/ 2629783 h 7007051"/>
            <a:gd name="connsiteX11" fmla="*/ 1131846 w 4639719"/>
            <a:gd name="connsiteY11" fmla="*/ 2847314 h 7007051"/>
            <a:gd name="connsiteX12" fmla="*/ 1310138 w 4639719"/>
            <a:gd name="connsiteY12" fmla="*/ 2961266 h 7007051"/>
            <a:gd name="connsiteX13" fmla="*/ 1496066 w 4639719"/>
            <a:gd name="connsiteY13" fmla="*/ 3027600 h 7007051"/>
            <a:gd name="connsiteX14" fmla="*/ 1670174 w 4639719"/>
            <a:gd name="connsiteY14" fmla="*/ 3010385 h 7007051"/>
            <a:gd name="connsiteX15" fmla="*/ 1743033 w 4639719"/>
            <a:gd name="connsiteY15" fmla="*/ 3117980 h 7007051"/>
            <a:gd name="connsiteX16" fmla="*/ 2267072 w 4639719"/>
            <a:gd name="connsiteY16" fmla="*/ 3083752 h 7007051"/>
            <a:gd name="connsiteX17" fmla="*/ 2718388 w 4639719"/>
            <a:gd name="connsiteY17" fmla="*/ 2992230 h 7007051"/>
            <a:gd name="connsiteX18" fmla="*/ 2550152 w 4639719"/>
            <a:gd name="connsiteY18" fmla="*/ 3369679 h 7007051"/>
            <a:gd name="connsiteX19" fmla="*/ 2872045 w 4639719"/>
            <a:gd name="connsiteY19" fmla="*/ 3481342 h 7007051"/>
            <a:gd name="connsiteX20" fmla="*/ 3356020 w 4639719"/>
            <a:gd name="connsiteY20" fmla="*/ 3741583 h 7007051"/>
            <a:gd name="connsiteX21" fmla="*/ 3383911 w 4639719"/>
            <a:gd name="connsiteY21" fmla="*/ 4018854 h 7007051"/>
            <a:gd name="connsiteX22" fmla="*/ 3611651 w 4639719"/>
            <a:gd name="connsiteY22" fmla="*/ 4189085 h 7007051"/>
            <a:gd name="connsiteX23" fmla="*/ 3562243 w 4639719"/>
            <a:gd name="connsiteY23" fmla="*/ 4462626 h 7007051"/>
            <a:gd name="connsiteX24" fmla="*/ 3467805 w 4639719"/>
            <a:gd name="connsiteY24" fmla="*/ 4661583 h 7007051"/>
            <a:gd name="connsiteX25" fmla="*/ 3668060 w 4639719"/>
            <a:gd name="connsiteY25" fmla="*/ 4707646 h 7007051"/>
            <a:gd name="connsiteX26" fmla="*/ 3745746 w 4639719"/>
            <a:gd name="connsiteY26" fmla="*/ 4741627 h 7007051"/>
            <a:gd name="connsiteX27" fmla="*/ 3719012 w 4639719"/>
            <a:gd name="connsiteY27" fmla="*/ 5046272 h 7007051"/>
            <a:gd name="connsiteX28" fmla="*/ 4083088 w 4639719"/>
            <a:gd name="connsiteY28" fmla="*/ 5180238 h 7007051"/>
            <a:gd name="connsiteX29" fmla="*/ 4117263 w 4639719"/>
            <a:gd name="connsiteY29" fmla="*/ 5383001 h 7007051"/>
            <a:gd name="connsiteX30" fmla="*/ 4312130 w 4639719"/>
            <a:gd name="connsiteY30" fmla="*/ 5401041 h 7007051"/>
            <a:gd name="connsiteX31" fmla="*/ 4303586 w 4639719"/>
            <a:gd name="connsiteY31" fmla="*/ 5592777 h 7007051"/>
            <a:gd name="connsiteX32" fmla="*/ 4511503 w 4639719"/>
            <a:gd name="connsiteY32" fmla="*/ 5532287 h 7007051"/>
            <a:gd name="connsiteX33" fmla="*/ 4516414 w 4639719"/>
            <a:gd name="connsiteY33" fmla="*/ 5753106 h 7007051"/>
            <a:gd name="connsiteX34" fmla="*/ 4305076 w 4639719"/>
            <a:gd name="connsiteY34" fmla="*/ 5803898 h 7007051"/>
            <a:gd name="connsiteX35" fmla="*/ 3861533 w 4639719"/>
            <a:gd name="connsiteY35" fmla="*/ 6384094 h 7007051"/>
            <a:gd name="connsiteX36" fmla="*/ 4454205 w 4639719"/>
            <a:gd name="connsiteY36" fmla="*/ 7007051 h 7007051"/>
            <a:gd name="connsiteX37" fmla="*/ 12900 w 4639719"/>
            <a:gd name="connsiteY37" fmla="*/ 6992686 h 7007051"/>
            <a:gd name="connsiteX0" fmla="*/ 12900 w 4639719"/>
            <a:gd name="connsiteY0" fmla="*/ 6992686 h 7007051"/>
            <a:gd name="connsiteX1" fmla="*/ 12900 w 4639719"/>
            <a:gd name="connsiteY1" fmla="*/ 2611187 h 7007051"/>
            <a:gd name="connsiteX2" fmla="*/ 4000 w 4639719"/>
            <a:gd name="connsiteY2" fmla="*/ 1239764 h 7007051"/>
            <a:gd name="connsiteX3" fmla="*/ 4000 w 4639719"/>
            <a:gd name="connsiteY3" fmla="*/ 17389 h 7007051"/>
            <a:gd name="connsiteX4" fmla="*/ 1632181 w 4639719"/>
            <a:gd name="connsiteY4" fmla="*/ 0 h 7007051"/>
            <a:gd name="connsiteX5" fmla="*/ 1644235 w 4639719"/>
            <a:gd name="connsiteY5" fmla="*/ 654878 h 7007051"/>
            <a:gd name="connsiteX6" fmla="*/ 1721297 w 4639719"/>
            <a:gd name="connsiteY6" fmla="*/ 795713 h 7007051"/>
            <a:gd name="connsiteX7" fmla="*/ 1632323 w 4639719"/>
            <a:gd name="connsiteY7" fmla="*/ 960913 h 7007051"/>
            <a:gd name="connsiteX8" fmla="*/ 1555131 w 4639719"/>
            <a:gd name="connsiteY8" fmla="*/ 1525409 h 7007051"/>
            <a:gd name="connsiteX9" fmla="*/ 1026665 w 4639719"/>
            <a:gd name="connsiteY9" fmla="*/ 2014444 h 7007051"/>
            <a:gd name="connsiteX10" fmla="*/ 1060681 w 4639719"/>
            <a:gd name="connsiteY10" fmla="*/ 2629783 h 7007051"/>
            <a:gd name="connsiteX11" fmla="*/ 1131846 w 4639719"/>
            <a:gd name="connsiteY11" fmla="*/ 2847314 h 7007051"/>
            <a:gd name="connsiteX12" fmla="*/ 1310138 w 4639719"/>
            <a:gd name="connsiteY12" fmla="*/ 2961266 h 7007051"/>
            <a:gd name="connsiteX13" fmla="*/ 1496066 w 4639719"/>
            <a:gd name="connsiteY13" fmla="*/ 3027600 h 7007051"/>
            <a:gd name="connsiteX14" fmla="*/ 1670174 w 4639719"/>
            <a:gd name="connsiteY14" fmla="*/ 3010385 h 7007051"/>
            <a:gd name="connsiteX15" fmla="*/ 1743033 w 4639719"/>
            <a:gd name="connsiteY15" fmla="*/ 3117980 h 7007051"/>
            <a:gd name="connsiteX16" fmla="*/ 2267072 w 4639719"/>
            <a:gd name="connsiteY16" fmla="*/ 3083752 h 7007051"/>
            <a:gd name="connsiteX17" fmla="*/ 2718388 w 4639719"/>
            <a:gd name="connsiteY17" fmla="*/ 2992230 h 7007051"/>
            <a:gd name="connsiteX18" fmla="*/ 2550152 w 4639719"/>
            <a:gd name="connsiteY18" fmla="*/ 3369679 h 7007051"/>
            <a:gd name="connsiteX19" fmla="*/ 2872045 w 4639719"/>
            <a:gd name="connsiteY19" fmla="*/ 3481342 h 7007051"/>
            <a:gd name="connsiteX20" fmla="*/ 3356020 w 4639719"/>
            <a:gd name="connsiteY20" fmla="*/ 3741583 h 7007051"/>
            <a:gd name="connsiteX21" fmla="*/ 3383911 w 4639719"/>
            <a:gd name="connsiteY21" fmla="*/ 4018854 h 7007051"/>
            <a:gd name="connsiteX22" fmla="*/ 3611651 w 4639719"/>
            <a:gd name="connsiteY22" fmla="*/ 4189085 h 7007051"/>
            <a:gd name="connsiteX23" fmla="*/ 3562243 w 4639719"/>
            <a:gd name="connsiteY23" fmla="*/ 4462626 h 7007051"/>
            <a:gd name="connsiteX24" fmla="*/ 3467805 w 4639719"/>
            <a:gd name="connsiteY24" fmla="*/ 4661583 h 7007051"/>
            <a:gd name="connsiteX25" fmla="*/ 3668060 w 4639719"/>
            <a:gd name="connsiteY25" fmla="*/ 4707646 h 7007051"/>
            <a:gd name="connsiteX26" fmla="*/ 3745746 w 4639719"/>
            <a:gd name="connsiteY26" fmla="*/ 4741627 h 7007051"/>
            <a:gd name="connsiteX27" fmla="*/ 3719012 w 4639719"/>
            <a:gd name="connsiteY27" fmla="*/ 5046272 h 7007051"/>
            <a:gd name="connsiteX28" fmla="*/ 4083088 w 4639719"/>
            <a:gd name="connsiteY28" fmla="*/ 5180238 h 7007051"/>
            <a:gd name="connsiteX29" fmla="*/ 4117263 w 4639719"/>
            <a:gd name="connsiteY29" fmla="*/ 5383001 h 7007051"/>
            <a:gd name="connsiteX30" fmla="*/ 4312130 w 4639719"/>
            <a:gd name="connsiteY30" fmla="*/ 5401041 h 7007051"/>
            <a:gd name="connsiteX31" fmla="*/ 4303586 w 4639719"/>
            <a:gd name="connsiteY31" fmla="*/ 5592777 h 7007051"/>
            <a:gd name="connsiteX32" fmla="*/ 4511503 w 4639719"/>
            <a:gd name="connsiteY32" fmla="*/ 5532287 h 7007051"/>
            <a:gd name="connsiteX33" fmla="*/ 4516414 w 4639719"/>
            <a:gd name="connsiteY33" fmla="*/ 5753106 h 7007051"/>
            <a:gd name="connsiteX34" fmla="*/ 4305076 w 4639719"/>
            <a:gd name="connsiteY34" fmla="*/ 5803898 h 7007051"/>
            <a:gd name="connsiteX35" fmla="*/ 3861533 w 4639719"/>
            <a:gd name="connsiteY35" fmla="*/ 6384094 h 7007051"/>
            <a:gd name="connsiteX36" fmla="*/ 4454205 w 4639719"/>
            <a:gd name="connsiteY36" fmla="*/ 7007051 h 7007051"/>
            <a:gd name="connsiteX37" fmla="*/ 12900 w 4639719"/>
            <a:gd name="connsiteY37" fmla="*/ 6992686 h 7007051"/>
            <a:gd name="connsiteX0" fmla="*/ 12900 w 4639719"/>
            <a:gd name="connsiteY0" fmla="*/ 6992686 h 7007051"/>
            <a:gd name="connsiteX1" fmla="*/ 12900 w 4639719"/>
            <a:gd name="connsiteY1" fmla="*/ 2611187 h 7007051"/>
            <a:gd name="connsiteX2" fmla="*/ 4000 w 4639719"/>
            <a:gd name="connsiteY2" fmla="*/ 1239764 h 7007051"/>
            <a:gd name="connsiteX3" fmla="*/ 4000 w 4639719"/>
            <a:gd name="connsiteY3" fmla="*/ 17389 h 7007051"/>
            <a:gd name="connsiteX4" fmla="*/ 1632181 w 4639719"/>
            <a:gd name="connsiteY4" fmla="*/ 0 h 7007051"/>
            <a:gd name="connsiteX5" fmla="*/ 1644235 w 4639719"/>
            <a:gd name="connsiteY5" fmla="*/ 654878 h 7007051"/>
            <a:gd name="connsiteX6" fmla="*/ 1721297 w 4639719"/>
            <a:gd name="connsiteY6" fmla="*/ 795713 h 7007051"/>
            <a:gd name="connsiteX7" fmla="*/ 1632323 w 4639719"/>
            <a:gd name="connsiteY7" fmla="*/ 960913 h 7007051"/>
            <a:gd name="connsiteX8" fmla="*/ 1555131 w 4639719"/>
            <a:gd name="connsiteY8" fmla="*/ 1525409 h 7007051"/>
            <a:gd name="connsiteX9" fmla="*/ 1026665 w 4639719"/>
            <a:gd name="connsiteY9" fmla="*/ 2014444 h 7007051"/>
            <a:gd name="connsiteX10" fmla="*/ 1060681 w 4639719"/>
            <a:gd name="connsiteY10" fmla="*/ 2629783 h 7007051"/>
            <a:gd name="connsiteX11" fmla="*/ 1205316 w 4639719"/>
            <a:gd name="connsiteY11" fmla="*/ 2847314 h 7007051"/>
            <a:gd name="connsiteX12" fmla="*/ 1310138 w 4639719"/>
            <a:gd name="connsiteY12" fmla="*/ 2961266 h 7007051"/>
            <a:gd name="connsiteX13" fmla="*/ 1496066 w 4639719"/>
            <a:gd name="connsiteY13" fmla="*/ 3027600 h 7007051"/>
            <a:gd name="connsiteX14" fmla="*/ 1670174 w 4639719"/>
            <a:gd name="connsiteY14" fmla="*/ 3010385 h 7007051"/>
            <a:gd name="connsiteX15" fmla="*/ 1743033 w 4639719"/>
            <a:gd name="connsiteY15" fmla="*/ 3117980 h 7007051"/>
            <a:gd name="connsiteX16" fmla="*/ 2267072 w 4639719"/>
            <a:gd name="connsiteY16" fmla="*/ 3083752 h 7007051"/>
            <a:gd name="connsiteX17" fmla="*/ 2718388 w 4639719"/>
            <a:gd name="connsiteY17" fmla="*/ 2992230 h 7007051"/>
            <a:gd name="connsiteX18" fmla="*/ 2550152 w 4639719"/>
            <a:gd name="connsiteY18" fmla="*/ 3369679 h 7007051"/>
            <a:gd name="connsiteX19" fmla="*/ 2872045 w 4639719"/>
            <a:gd name="connsiteY19" fmla="*/ 3481342 h 7007051"/>
            <a:gd name="connsiteX20" fmla="*/ 3356020 w 4639719"/>
            <a:gd name="connsiteY20" fmla="*/ 3741583 h 7007051"/>
            <a:gd name="connsiteX21" fmla="*/ 3383911 w 4639719"/>
            <a:gd name="connsiteY21" fmla="*/ 4018854 h 7007051"/>
            <a:gd name="connsiteX22" fmla="*/ 3611651 w 4639719"/>
            <a:gd name="connsiteY22" fmla="*/ 4189085 h 7007051"/>
            <a:gd name="connsiteX23" fmla="*/ 3562243 w 4639719"/>
            <a:gd name="connsiteY23" fmla="*/ 4462626 h 7007051"/>
            <a:gd name="connsiteX24" fmla="*/ 3467805 w 4639719"/>
            <a:gd name="connsiteY24" fmla="*/ 4661583 h 7007051"/>
            <a:gd name="connsiteX25" fmla="*/ 3668060 w 4639719"/>
            <a:gd name="connsiteY25" fmla="*/ 4707646 h 7007051"/>
            <a:gd name="connsiteX26" fmla="*/ 3745746 w 4639719"/>
            <a:gd name="connsiteY26" fmla="*/ 4741627 h 7007051"/>
            <a:gd name="connsiteX27" fmla="*/ 3719012 w 4639719"/>
            <a:gd name="connsiteY27" fmla="*/ 5046272 h 7007051"/>
            <a:gd name="connsiteX28" fmla="*/ 4083088 w 4639719"/>
            <a:gd name="connsiteY28" fmla="*/ 5180238 h 7007051"/>
            <a:gd name="connsiteX29" fmla="*/ 4117263 w 4639719"/>
            <a:gd name="connsiteY29" fmla="*/ 5383001 h 7007051"/>
            <a:gd name="connsiteX30" fmla="*/ 4312130 w 4639719"/>
            <a:gd name="connsiteY30" fmla="*/ 5401041 h 7007051"/>
            <a:gd name="connsiteX31" fmla="*/ 4303586 w 4639719"/>
            <a:gd name="connsiteY31" fmla="*/ 5592777 h 7007051"/>
            <a:gd name="connsiteX32" fmla="*/ 4511503 w 4639719"/>
            <a:gd name="connsiteY32" fmla="*/ 5532287 h 7007051"/>
            <a:gd name="connsiteX33" fmla="*/ 4516414 w 4639719"/>
            <a:gd name="connsiteY33" fmla="*/ 5753106 h 7007051"/>
            <a:gd name="connsiteX34" fmla="*/ 4305076 w 4639719"/>
            <a:gd name="connsiteY34" fmla="*/ 5803898 h 7007051"/>
            <a:gd name="connsiteX35" fmla="*/ 3861533 w 4639719"/>
            <a:gd name="connsiteY35" fmla="*/ 6384094 h 7007051"/>
            <a:gd name="connsiteX36" fmla="*/ 4454205 w 4639719"/>
            <a:gd name="connsiteY36" fmla="*/ 7007051 h 7007051"/>
            <a:gd name="connsiteX37" fmla="*/ 12900 w 4639719"/>
            <a:gd name="connsiteY37" fmla="*/ 6992686 h 7007051"/>
            <a:gd name="connsiteX0" fmla="*/ 12900 w 4639719"/>
            <a:gd name="connsiteY0" fmla="*/ 6992686 h 7007051"/>
            <a:gd name="connsiteX1" fmla="*/ 12900 w 4639719"/>
            <a:gd name="connsiteY1" fmla="*/ 2611187 h 7007051"/>
            <a:gd name="connsiteX2" fmla="*/ 4000 w 4639719"/>
            <a:gd name="connsiteY2" fmla="*/ 1239764 h 7007051"/>
            <a:gd name="connsiteX3" fmla="*/ 4000 w 4639719"/>
            <a:gd name="connsiteY3" fmla="*/ 17389 h 7007051"/>
            <a:gd name="connsiteX4" fmla="*/ 1632181 w 4639719"/>
            <a:gd name="connsiteY4" fmla="*/ 0 h 7007051"/>
            <a:gd name="connsiteX5" fmla="*/ 1644235 w 4639719"/>
            <a:gd name="connsiteY5" fmla="*/ 654878 h 7007051"/>
            <a:gd name="connsiteX6" fmla="*/ 1721297 w 4639719"/>
            <a:gd name="connsiteY6" fmla="*/ 795713 h 7007051"/>
            <a:gd name="connsiteX7" fmla="*/ 1632323 w 4639719"/>
            <a:gd name="connsiteY7" fmla="*/ 960913 h 7007051"/>
            <a:gd name="connsiteX8" fmla="*/ 1555131 w 4639719"/>
            <a:gd name="connsiteY8" fmla="*/ 1525409 h 7007051"/>
            <a:gd name="connsiteX9" fmla="*/ 1026665 w 4639719"/>
            <a:gd name="connsiteY9" fmla="*/ 2014444 h 7007051"/>
            <a:gd name="connsiteX10" fmla="*/ 1060681 w 4639719"/>
            <a:gd name="connsiteY10" fmla="*/ 2629783 h 7007051"/>
            <a:gd name="connsiteX11" fmla="*/ 1205316 w 4639719"/>
            <a:gd name="connsiteY11" fmla="*/ 2847314 h 7007051"/>
            <a:gd name="connsiteX12" fmla="*/ 1341625 w 4639719"/>
            <a:gd name="connsiteY12" fmla="*/ 2961266 h 7007051"/>
            <a:gd name="connsiteX13" fmla="*/ 1496066 w 4639719"/>
            <a:gd name="connsiteY13" fmla="*/ 3027600 h 7007051"/>
            <a:gd name="connsiteX14" fmla="*/ 1670174 w 4639719"/>
            <a:gd name="connsiteY14" fmla="*/ 3010385 h 7007051"/>
            <a:gd name="connsiteX15" fmla="*/ 1743033 w 4639719"/>
            <a:gd name="connsiteY15" fmla="*/ 3117980 h 7007051"/>
            <a:gd name="connsiteX16" fmla="*/ 2267072 w 4639719"/>
            <a:gd name="connsiteY16" fmla="*/ 3083752 h 7007051"/>
            <a:gd name="connsiteX17" fmla="*/ 2718388 w 4639719"/>
            <a:gd name="connsiteY17" fmla="*/ 2992230 h 7007051"/>
            <a:gd name="connsiteX18" fmla="*/ 2550152 w 4639719"/>
            <a:gd name="connsiteY18" fmla="*/ 3369679 h 7007051"/>
            <a:gd name="connsiteX19" fmla="*/ 2872045 w 4639719"/>
            <a:gd name="connsiteY19" fmla="*/ 3481342 h 7007051"/>
            <a:gd name="connsiteX20" fmla="*/ 3356020 w 4639719"/>
            <a:gd name="connsiteY20" fmla="*/ 3741583 h 7007051"/>
            <a:gd name="connsiteX21" fmla="*/ 3383911 w 4639719"/>
            <a:gd name="connsiteY21" fmla="*/ 4018854 h 7007051"/>
            <a:gd name="connsiteX22" fmla="*/ 3611651 w 4639719"/>
            <a:gd name="connsiteY22" fmla="*/ 4189085 h 7007051"/>
            <a:gd name="connsiteX23" fmla="*/ 3562243 w 4639719"/>
            <a:gd name="connsiteY23" fmla="*/ 4462626 h 7007051"/>
            <a:gd name="connsiteX24" fmla="*/ 3467805 w 4639719"/>
            <a:gd name="connsiteY24" fmla="*/ 4661583 h 7007051"/>
            <a:gd name="connsiteX25" fmla="*/ 3668060 w 4639719"/>
            <a:gd name="connsiteY25" fmla="*/ 4707646 h 7007051"/>
            <a:gd name="connsiteX26" fmla="*/ 3745746 w 4639719"/>
            <a:gd name="connsiteY26" fmla="*/ 4741627 h 7007051"/>
            <a:gd name="connsiteX27" fmla="*/ 3719012 w 4639719"/>
            <a:gd name="connsiteY27" fmla="*/ 5046272 h 7007051"/>
            <a:gd name="connsiteX28" fmla="*/ 4083088 w 4639719"/>
            <a:gd name="connsiteY28" fmla="*/ 5180238 h 7007051"/>
            <a:gd name="connsiteX29" fmla="*/ 4117263 w 4639719"/>
            <a:gd name="connsiteY29" fmla="*/ 5383001 h 7007051"/>
            <a:gd name="connsiteX30" fmla="*/ 4312130 w 4639719"/>
            <a:gd name="connsiteY30" fmla="*/ 5401041 h 7007051"/>
            <a:gd name="connsiteX31" fmla="*/ 4303586 w 4639719"/>
            <a:gd name="connsiteY31" fmla="*/ 5592777 h 7007051"/>
            <a:gd name="connsiteX32" fmla="*/ 4511503 w 4639719"/>
            <a:gd name="connsiteY32" fmla="*/ 5532287 h 7007051"/>
            <a:gd name="connsiteX33" fmla="*/ 4516414 w 4639719"/>
            <a:gd name="connsiteY33" fmla="*/ 5753106 h 7007051"/>
            <a:gd name="connsiteX34" fmla="*/ 4305076 w 4639719"/>
            <a:gd name="connsiteY34" fmla="*/ 5803898 h 7007051"/>
            <a:gd name="connsiteX35" fmla="*/ 3861533 w 4639719"/>
            <a:gd name="connsiteY35" fmla="*/ 6384094 h 7007051"/>
            <a:gd name="connsiteX36" fmla="*/ 4454205 w 4639719"/>
            <a:gd name="connsiteY36" fmla="*/ 7007051 h 7007051"/>
            <a:gd name="connsiteX37" fmla="*/ 12900 w 4639719"/>
            <a:gd name="connsiteY37" fmla="*/ 6992686 h 7007051"/>
            <a:gd name="connsiteX0" fmla="*/ 12900 w 4639719"/>
            <a:gd name="connsiteY0" fmla="*/ 6992686 h 7007051"/>
            <a:gd name="connsiteX1" fmla="*/ 12900 w 4639719"/>
            <a:gd name="connsiteY1" fmla="*/ 2611187 h 7007051"/>
            <a:gd name="connsiteX2" fmla="*/ 4000 w 4639719"/>
            <a:gd name="connsiteY2" fmla="*/ 1239764 h 7007051"/>
            <a:gd name="connsiteX3" fmla="*/ 4000 w 4639719"/>
            <a:gd name="connsiteY3" fmla="*/ 17389 h 7007051"/>
            <a:gd name="connsiteX4" fmla="*/ 1632181 w 4639719"/>
            <a:gd name="connsiteY4" fmla="*/ 0 h 7007051"/>
            <a:gd name="connsiteX5" fmla="*/ 1644235 w 4639719"/>
            <a:gd name="connsiteY5" fmla="*/ 654878 h 7007051"/>
            <a:gd name="connsiteX6" fmla="*/ 1721297 w 4639719"/>
            <a:gd name="connsiteY6" fmla="*/ 795713 h 7007051"/>
            <a:gd name="connsiteX7" fmla="*/ 1632323 w 4639719"/>
            <a:gd name="connsiteY7" fmla="*/ 960913 h 7007051"/>
            <a:gd name="connsiteX8" fmla="*/ 1555131 w 4639719"/>
            <a:gd name="connsiteY8" fmla="*/ 1525409 h 7007051"/>
            <a:gd name="connsiteX9" fmla="*/ 1026665 w 4639719"/>
            <a:gd name="connsiteY9" fmla="*/ 2014444 h 7007051"/>
            <a:gd name="connsiteX10" fmla="*/ 1060681 w 4639719"/>
            <a:gd name="connsiteY10" fmla="*/ 2629783 h 7007051"/>
            <a:gd name="connsiteX11" fmla="*/ 1205316 w 4639719"/>
            <a:gd name="connsiteY11" fmla="*/ 2847314 h 7007051"/>
            <a:gd name="connsiteX12" fmla="*/ 1341625 w 4639719"/>
            <a:gd name="connsiteY12" fmla="*/ 2961266 h 7007051"/>
            <a:gd name="connsiteX13" fmla="*/ 1496066 w 4639719"/>
            <a:gd name="connsiteY13" fmla="*/ 3027600 h 7007051"/>
            <a:gd name="connsiteX14" fmla="*/ 1659677 w 4639719"/>
            <a:gd name="connsiteY14" fmla="*/ 3056146 h 7007051"/>
            <a:gd name="connsiteX15" fmla="*/ 1743033 w 4639719"/>
            <a:gd name="connsiteY15" fmla="*/ 3117980 h 7007051"/>
            <a:gd name="connsiteX16" fmla="*/ 2267072 w 4639719"/>
            <a:gd name="connsiteY16" fmla="*/ 3083752 h 7007051"/>
            <a:gd name="connsiteX17" fmla="*/ 2718388 w 4639719"/>
            <a:gd name="connsiteY17" fmla="*/ 2992230 h 7007051"/>
            <a:gd name="connsiteX18" fmla="*/ 2550152 w 4639719"/>
            <a:gd name="connsiteY18" fmla="*/ 3369679 h 7007051"/>
            <a:gd name="connsiteX19" fmla="*/ 2872045 w 4639719"/>
            <a:gd name="connsiteY19" fmla="*/ 3481342 h 7007051"/>
            <a:gd name="connsiteX20" fmla="*/ 3356020 w 4639719"/>
            <a:gd name="connsiteY20" fmla="*/ 3741583 h 7007051"/>
            <a:gd name="connsiteX21" fmla="*/ 3383911 w 4639719"/>
            <a:gd name="connsiteY21" fmla="*/ 4018854 h 7007051"/>
            <a:gd name="connsiteX22" fmla="*/ 3611651 w 4639719"/>
            <a:gd name="connsiteY22" fmla="*/ 4189085 h 7007051"/>
            <a:gd name="connsiteX23" fmla="*/ 3562243 w 4639719"/>
            <a:gd name="connsiteY23" fmla="*/ 4462626 h 7007051"/>
            <a:gd name="connsiteX24" fmla="*/ 3467805 w 4639719"/>
            <a:gd name="connsiteY24" fmla="*/ 4661583 h 7007051"/>
            <a:gd name="connsiteX25" fmla="*/ 3668060 w 4639719"/>
            <a:gd name="connsiteY25" fmla="*/ 4707646 h 7007051"/>
            <a:gd name="connsiteX26" fmla="*/ 3745746 w 4639719"/>
            <a:gd name="connsiteY26" fmla="*/ 4741627 h 7007051"/>
            <a:gd name="connsiteX27" fmla="*/ 3719012 w 4639719"/>
            <a:gd name="connsiteY27" fmla="*/ 5046272 h 7007051"/>
            <a:gd name="connsiteX28" fmla="*/ 4083088 w 4639719"/>
            <a:gd name="connsiteY28" fmla="*/ 5180238 h 7007051"/>
            <a:gd name="connsiteX29" fmla="*/ 4117263 w 4639719"/>
            <a:gd name="connsiteY29" fmla="*/ 5383001 h 7007051"/>
            <a:gd name="connsiteX30" fmla="*/ 4312130 w 4639719"/>
            <a:gd name="connsiteY30" fmla="*/ 5401041 h 7007051"/>
            <a:gd name="connsiteX31" fmla="*/ 4303586 w 4639719"/>
            <a:gd name="connsiteY31" fmla="*/ 5592777 h 7007051"/>
            <a:gd name="connsiteX32" fmla="*/ 4511503 w 4639719"/>
            <a:gd name="connsiteY32" fmla="*/ 5532287 h 7007051"/>
            <a:gd name="connsiteX33" fmla="*/ 4516414 w 4639719"/>
            <a:gd name="connsiteY33" fmla="*/ 5753106 h 7007051"/>
            <a:gd name="connsiteX34" fmla="*/ 4305076 w 4639719"/>
            <a:gd name="connsiteY34" fmla="*/ 5803898 h 7007051"/>
            <a:gd name="connsiteX35" fmla="*/ 3861533 w 4639719"/>
            <a:gd name="connsiteY35" fmla="*/ 6384094 h 7007051"/>
            <a:gd name="connsiteX36" fmla="*/ 4454205 w 4639719"/>
            <a:gd name="connsiteY36" fmla="*/ 7007051 h 7007051"/>
            <a:gd name="connsiteX37" fmla="*/ 12900 w 4639719"/>
            <a:gd name="connsiteY37" fmla="*/ 6992686 h 7007051"/>
            <a:gd name="connsiteX0" fmla="*/ 12900 w 4639719"/>
            <a:gd name="connsiteY0" fmla="*/ 6992686 h 7007051"/>
            <a:gd name="connsiteX1" fmla="*/ 12900 w 4639719"/>
            <a:gd name="connsiteY1" fmla="*/ 2611187 h 7007051"/>
            <a:gd name="connsiteX2" fmla="*/ 4000 w 4639719"/>
            <a:gd name="connsiteY2" fmla="*/ 1239764 h 7007051"/>
            <a:gd name="connsiteX3" fmla="*/ 4000 w 4639719"/>
            <a:gd name="connsiteY3" fmla="*/ 17389 h 7007051"/>
            <a:gd name="connsiteX4" fmla="*/ 1632181 w 4639719"/>
            <a:gd name="connsiteY4" fmla="*/ 0 h 7007051"/>
            <a:gd name="connsiteX5" fmla="*/ 1644235 w 4639719"/>
            <a:gd name="connsiteY5" fmla="*/ 654878 h 7007051"/>
            <a:gd name="connsiteX6" fmla="*/ 1721297 w 4639719"/>
            <a:gd name="connsiteY6" fmla="*/ 795713 h 7007051"/>
            <a:gd name="connsiteX7" fmla="*/ 1632323 w 4639719"/>
            <a:gd name="connsiteY7" fmla="*/ 960913 h 7007051"/>
            <a:gd name="connsiteX8" fmla="*/ 1555131 w 4639719"/>
            <a:gd name="connsiteY8" fmla="*/ 1525409 h 7007051"/>
            <a:gd name="connsiteX9" fmla="*/ 1026665 w 4639719"/>
            <a:gd name="connsiteY9" fmla="*/ 2014444 h 7007051"/>
            <a:gd name="connsiteX10" fmla="*/ 1060681 w 4639719"/>
            <a:gd name="connsiteY10" fmla="*/ 2629783 h 7007051"/>
            <a:gd name="connsiteX11" fmla="*/ 1205316 w 4639719"/>
            <a:gd name="connsiteY11" fmla="*/ 2847314 h 7007051"/>
            <a:gd name="connsiteX12" fmla="*/ 1341625 w 4639719"/>
            <a:gd name="connsiteY12" fmla="*/ 2961266 h 7007051"/>
            <a:gd name="connsiteX13" fmla="*/ 1496066 w 4639719"/>
            <a:gd name="connsiteY13" fmla="*/ 3027600 h 7007051"/>
            <a:gd name="connsiteX14" fmla="*/ 1659677 w 4639719"/>
            <a:gd name="connsiteY14" fmla="*/ 3056146 h 7007051"/>
            <a:gd name="connsiteX15" fmla="*/ 1743033 w 4639719"/>
            <a:gd name="connsiteY15" fmla="*/ 3117980 h 7007051"/>
            <a:gd name="connsiteX16" fmla="*/ 2309056 w 4639719"/>
            <a:gd name="connsiteY16" fmla="*/ 3111209 h 7007051"/>
            <a:gd name="connsiteX17" fmla="*/ 2718388 w 4639719"/>
            <a:gd name="connsiteY17" fmla="*/ 2992230 h 7007051"/>
            <a:gd name="connsiteX18" fmla="*/ 2550152 w 4639719"/>
            <a:gd name="connsiteY18" fmla="*/ 3369679 h 7007051"/>
            <a:gd name="connsiteX19" fmla="*/ 2872045 w 4639719"/>
            <a:gd name="connsiteY19" fmla="*/ 3481342 h 7007051"/>
            <a:gd name="connsiteX20" fmla="*/ 3356020 w 4639719"/>
            <a:gd name="connsiteY20" fmla="*/ 3741583 h 7007051"/>
            <a:gd name="connsiteX21" fmla="*/ 3383911 w 4639719"/>
            <a:gd name="connsiteY21" fmla="*/ 4018854 h 7007051"/>
            <a:gd name="connsiteX22" fmla="*/ 3611651 w 4639719"/>
            <a:gd name="connsiteY22" fmla="*/ 4189085 h 7007051"/>
            <a:gd name="connsiteX23" fmla="*/ 3562243 w 4639719"/>
            <a:gd name="connsiteY23" fmla="*/ 4462626 h 7007051"/>
            <a:gd name="connsiteX24" fmla="*/ 3467805 w 4639719"/>
            <a:gd name="connsiteY24" fmla="*/ 4661583 h 7007051"/>
            <a:gd name="connsiteX25" fmla="*/ 3668060 w 4639719"/>
            <a:gd name="connsiteY25" fmla="*/ 4707646 h 7007051"/>
            <a:gd name="connsiteX26" fmla="*/ 3745746 w 4639719"/>
            <a:gd name="connsiteY26" fmla="*/ 4741627 h 7007051"/>
            <a:gd name="connsiteX27" fmla="*/ 3719012 w 4639719"/>
            <a:gd name="connsiteY27" fmla="*/ 5046272 h 7007051"/>
            <a:gd name="connsiteX28" fmla="*/ 4083088 w 4639719"/>
            <a:gd name="connsiteY28" fmla="*/ 5180238 h 7007051"/>
            <a:gd name="connsiteX29" fmla="*/ 4117263 w 4639719"/>
            <a:gd name="connsiteY29" fmla="*/ 5383001 h 7007051"/>
            <a:gd name="connsiteX30" fmla="*/ 4312130 w 4639719"/>
            <a:gd name="connsiteY30" fmla="*/ 5401041 h 7007051"/>
            <a:gd name="connsiteX31" fmla="*/ 4303586 w 4639719"/>
            <a:gd name="connsiteY31" fmla="*/ 5592777 h 7007051"/>
            <a:gd name="connsiteX32" fmla="*/ 4511503 w 4639719"/>
            <a:gd name="connsiteY32" fmla="*/ 5532287 h 7007051"/>
            <a:gd name="connsiteX33" fmla="*/ 4516414 w 4639719"/>
            <a:gd name="connsiteY33" fmla="*/ 5753106 h 7007051"/>
            <a:gd name="connsiteX34" fmla="*/ 4305076 w 4639719"/>
            <a:gd name="connsiteY34" fmla="*/ 5803898 h 7007051"/>
            <a:gd name="connsiteX35" fmla="*/ 3861533 w 4639719"/>
            <a:gd name="connsiteY35" fmla="*/ 6384094 h 7007051"/>
            <a:gd name="connsiteX36" fmla="*/ 4454205 w 4639719"/>
            <a:gd name="connsiteY36" fmla="*/ 7007051 h 7007051"/>
            <a:gd name="connsiteX37" fmla="*/ 12900 w 4639719"/>
            <a:gd name="connsiteY37" fmla="*/ 6992686 h 7007051"/>
            <a:gd name="connsiteX0" fmla="*/ 12900 w 4639719"/>
            <a:gd name="connsiteY0" fmla="*/ 6992686 h 7007051"/>
            <a:gd name="connsiteX1" fmla="*/ 12900 w 4639719"/>
            <a:gd name="connsiteY1" fmla="*/ 2611187 h 7007051"/>
            <a:gd name="connsiteX2" fmla="*/ 4000 w 4639719"/>
            <a:gd name="connsiteY2" fmla="*/ 1239764 h 7007051"/>
            <a:gd name="connsiteX3" fmla="*/ 4000 w 4639719"/>
            <a:gd name="connsiteY3" fmla="*/ 17389 h 7007051"/>
            <a:gd name="connsiteX4" fmla="*/ 1632181 w 4639719"/>
            <a:gd name="connsiteY4" fmla="*/ 0 h 7007051"/>
            <a:gd name="connsiteX5" fmla="*/ 1644235 w 4639719"/>
            <a:gd name="connsiteY5" fmla="*/ 654878 h 7007051"/>
            <a:gd name="connsiteX6" fmla="*/ 1721297 w 4639719"/>
            <a:gd name="connsiteY6" fmla="*/ 795713 h 7007051"/>
            <a:gd name="connsiteX7" fmla="*/ 1632323 w 4639719"/>
            <a:gd name="connsiteY7" fmla="*/ 960913 h 7007051"/>
            <a:gd name="connsiteX8" fmla="*/ 1555131 w 4639719"/>
            <a:gd name="connsiteY8" fmla="*/ 1525409 h 7007051"/>
            <a:gd name="connsiteX9" fmla="*/ 1026665 w 4639719"/>
            <a:gd name="connsiteY9" fmla="*/ 2014444 h 7007051"/>
            <a:gd name="connsiteX10" fmla="*/ 1060681 w 4639719"/>
            <a:gd name="connsiteY10" fmla="*/ 2629783 h 7007051"/>
            <a:gd name="connsiteX11" fmla="*/ 1205316 w 4639719"/>
            <a:gd name="connsiteY11" fmla="*/ 2847314 h 7007051"/>
            <a:gd name="connsiteX12" fmla="*/ 1341625 w 4639719"/>
            <a:gd name="connsiteY12" fmla="*/ 2961266 h 7007051"/>
            <a:gd name="connsiteX13" fmla="*/ 1496066 w 4639719"/>
            <a:gd name="connsiteY13" fmla="*/ 3027600 h 7007051"/>
            <a:gd name="connsiteX14" fmla="*/ 1659677 w 4639719"/>
            <a:gd name="connsiteY14" fmla="*/ 3056146 h 7007051"/>
            <a:gd name="connsiteX15" fmla="*/ 1743033 w 4639719"/>
            <a:gd name="connsiteY15" fmla="*/ 3117980 h 7007051"/>
            <a:gd name="connsiteX16" fmla="*/ 2309056 w 4639719"/>
            <a:gd name="connsiteY16" fmla="*/ 3111209 h 7007051"/>
            <a:gd name="connsiteX17" fmla="*/ 2760371 w 4639719"/>
            <a:gd name="connsiteY17" fmla="*/ 3010535 h 7007051"/>
            <a:gd name="connsiteX18" fmla="*/ 2550152 w 4639719"/>
            <a:gd name="connsiteY18" fmla="*/ 3369679 h 7007051"/>
            <a:gd name="connsiteX19" fmla="*/ 2872045 w 4639719"/>
            <a:gd name="connsiteY19" fmla="*/ 3481342 h 7007051"/>
            <a:gd name="connsiteX20" fmla="*/ 3356020 w 4639719"/>
            <a:gd name="connsiteY20" fmla="*/ 3741583 h 7007051"/>
            <a:gd name="connsiteX21" fmla="*/ 3383911 w 4639719"/>
            <a:gd name="connsiteY21" fmla="*/ 4018854 h 7007051"/>
            <a:gd name="connsiteX22" fmla="*/ 3611651 w 4639719"/>
            <a:gd name="connsiteY22" fmla="*/ 4189085 h 7007051"/>
            <a:gd name="connsiteX23" fmla="*/ 3562243 w 4639719"/>
            <a:gd name="connsiteY23" fmla="*/ 4462626 h 7007051"/>
            <a:gd name="connsiteX24" fmla="*/ 3467805 w 4639719"/>
            <a:gd name="connsiteY24" fmla="*/ 4661583 h 7007051"/>
            <a:gd name="connsiteX25" fmla="*/ 3668060 w 4639719"/>
            <a:gd name="connsiteY25" fmla="*/ 4707646 h 7007051"/>
            <a:gd name="connsiteX26" fmla="*/ 3745746 w 4639719"/>
            <a:gd name="connsiteY26" fmla="*/ 4741627 h 7007051"/>
            <a:gd name="connsiteX27" fmla="*/ 3719012 w 4639719"/>
            <a:gd name="connsiteY27" fmla="*/ 5046272 h 7007051"/>
            <a:gd name="connsiteX28" fmla="*/ 4083088 w 4639719"/>
            <a:gd name="connsiteY28" fmla="*/ 5180238 h 7007051"/>
            <a:gd name="connsiteX29" fmla="*/ 4117263 w 4639719"/>
            <a:gd name="connsiteY29" fmla="*/ 5383001 h 7007051"/>
            <a:gd name="connsiteX30" fmla="*/ 4312130 w 4639719"/>
            <a:gd name="connsiteY30" fmla="*/ 5401041 h 7007051"/>
            <a:gd name="connsiteX31" fmla="*/ 4303586 w 4639719"/>
            <a:gd name="connsiteY31" fmla="*/ 5592777 h 7007051"/>
            <a:gd name="connsiteX32" fmla="*/ 4511503 w 4639719"/>
            <a:gd name="connsiteY32" fmla="*/ 5532287 h 7007051"/>
            <a:gd name="connsiteX33" fmla="*/ 4516414 w 4639719"/>
            <a:gd name="connsiteY33" fmla="*/ 5753106 h 7007051"/>
            <a:gd name="connsiteX34" fmla="*/ 4305076 w 4639719"/>
            <a:gd name="connsiteY34" fmla="*/ 5803898 h 7007051"/>
            <a:gd name="connsiteX35" fmla="*/ 3861533 w 4639719"/>
            <a:gd name="connsiteY35" fmla="*/ 6384094 h 7007051"/>
            <a:gd name="connsiteX36" fmla="*/ 4454205 w 4639719"/>
            <a:gd name="connsiteY36" fmla="*/ 7007051 h 7007051"/>
            <a:gd name="connsiteX37" fmla="*/ 12900 w 4639719"/>
            <a:gd name="connsiteY37" fmla="*/ 6992686 h 7007051"/>
            <a:gd name="connsiteX0" fmla="*/ 12900 w 4639719"/>
            <a:gd name="connsiteY0" fmla="*/ 6992686 h 7007051"/>
            <a:gd name="connsiteX1" fmla="*/ 12900 w 4639719"/>
            <a:gd name="connsiteY1" fmla="*/ 2611187 h 7007051"/>
            <a:gd name="connsiteX2" fmla="*/ 4000 w 4639719"/>
            <a:gd name="connsiteY2" fmla="*/ 1239764 h 7007051"/>
            <a:gd name="connsiteX3" fmla="*/ 4000 w 4639719"/>
            <a:gd name="connsiteY3" fmla="*/ 17389 h 7007051"/>
            <a:gd name="connsiteX4" fmla="*/ 1632181 w 4639719"/>
            <a:gd name="connsiteY4" fmla="*/ 0 h 7007051"/>
            <a:gd name="connsiteX5" fmla="*/ 1644235 w 4639719"/>
            <a:gd name="connsiteY5" fmla="*/ 654878 h 7007051"/>
            <a:gd name="connsiteX6" fmla="*/ 1721297 w 4639719"/>
            <a:gd name="connsiteY6" fmla="*/ 795713 h 7007051"/>
            <a:gd name="connsiteX7" fmla="*/ 1632323 w 4639719"/>
            <a:gd name="connsiteY7" fmla="*/ 960913 h 7007051"/>
            <a:gd name="connsiteX8" fmla="*/ 1555131 w 4639719"/>
            <a:gd name="connsiteY8" fmla="*/ 1525409 h 7007051"/>
            <a:gd name="connsiteX9" fmla="*/ 1026665 w 4639719"/>
            <a:gd name="connsiteY9" fmla="*/ 2014444 h 7007051"/>
            <a:gd name="connsiteX10" fmla="*/ 1060681 w 4639719"/>
            <a:gd name="connsiteY10" fmla="*/ 2629783 h 7007051"/>
            <a:gd name="connsiteX11" fmla="*/ 1205316 w 4639719"/>
            <a:gd name="connsiteY11" fmla="*/ 2847314 h 7007051"/>
            <a:gd name="connsiteX12" fmla="*/ 1341625 w 4639719"/>
            <a:gd name="connsiteY12" fmla="*/ 2961266 h 7007051"/>
            <a:gd name="connsiteX13" fmla="*/ 1496066 w 4639719"/>
            <a:gd name="connsiteY13" fmla="*/ 3027600 h 7007051"/>
            <a:gd name="connsiteX14" fmla="*/ 1659677 w 4639719"/>
            <a:gd name="connsiteY14" fmla="*/ 3056146 h 7007051"/>
            <a:gd name="connsiteX15" fmla="*/ 1858486 w 4639719"/>
            <a:gd name="connsiteY15" fmla="*/ 3154588 h 7007051"/>
            <a:gd name="connsiteX16" fmla="*/ 2309056 w 4639719"/>
            <a:gd name="connsiteY16" fmla="*/ 3111209 h 7007051"/>
            <a:gd name="connsiteX17" fmla="*/ 2760371 w 4639719"/>
            <a:gd name="connsiteY17" fmla="*/ 3010535 h 7007051"/>
            <a:gd name="connsiteX18" fmla="*/ 2550152 w 4639719"/>
            <a:gd name="connsiteY18" fmla="*/ 3369679 h 7007051"/>
            <a:gd name="connsiteX19" fmla="*/ 2872045 w 4639719"/>
            <a:gd name="connsiteY19" fmla="*/ 3481342 h 7007051"/>
            <a:gd name="connsiteX20" fmla="*/ 3356020 w 4639719"/>
            <a:gd name="connsiteY20" fmla="*/ 3741583 h 7007051"/>
            <a:gd name="connsiteX21" fmla="*/ 3383911 w 4639719"/>
            <a:gd name="connsiteY21" fmla="*/ 4018854 h 7007051"/>
            <a:gd name="connsiteX22" fmla="*/ 3611651 w 4639719"/>
            <a:gd name="connsiteY22" fmla="*/ 4189085 h 7007051"/>
            <a:gd name="connsiteX23" fmla="*/ 3562243 w 4639719"/>
            <a:gd name="connsiteY23" fmla="*/ 4462626 h 7007051"/>
            <a:gd name="connsiteX24" fmla="*/ 3467805 w 4639719"/>
            <a:gd name="connsiteY24" fmla="*/ 4661583 h 7007051"/>
            <a:gd name="connsiteX25" fmla="*/ 3668060 w 4639719"/>
            <a:gd name="connsiteY25" fmla="*/ 4707646 h 7007051"/>
            <a:gd name="connsiteX26" fmla="*/ 3745746 w 4639719"/>
            <a:gd name="connsiteY26" fmla="*/ 4741627 h 7007051"/>
            <a:gd name="connsiteX27" fmla="*/ 3719012 w 4639719"/>
            <a:gd name="connsiteY27" fmla="*/ 5046272 h 7007051"/>
            <a:gd name="connsiteX28" fmla="*/ 4083088 w 4639719"/>
            <a:gd name="connsiteY28" fmla="*/ 5180238 h 7007051"/>
            <a:gd name="connsiteX29" fmla="*/ 4117263 w 4639719"/>
            <a:gd name="connsiteY29" fmla="*/ 5383001 h 7007051"/>
            <a:gd name="connsiteX30" fmla="*/ 4312130 w 4639719"/>
            <a:gd name="connsiteY30" fmla="*/ 5401041 h 7007051"/>
            <a:gd name="connsiteX31" fmla="*/ 4303586 w 4639719"/>
            <a:gd name="connsiteY31" fmla="*/ 5592777 h 7007051"/>
            <a:gd name="connsiteX32" fmla="*/ 4511503 w 4639719"/>
            <a:gd name="connsiteY32" fmla="*/ 5532287 h 7007051"/>
            <a:gd name="connsiteX33" fmla="*/ 4516414 w 4639719"/>
            <a:gd name="connsiteY33" fmla="*/ 5753106 h 7007051"/>
            <a:gd name="connsiteX34" fmla="*/ 4305076 w 4639719"/>
            <a:gd name="connsiteY34" fmla="*/ 5803898 h 7007051"/>
            <a:gd name="connsiteX35" fmla="*/ 3861533 w 4639719"/>
            <a:gd name="connsiteY35" fmla="*/ 6384094 h 7007051"/>
            <a:gd name="connsiteX36" fmla="*/ 4454205 w 4639719"/>
            <a:gd name="connsiteY36" fmla="*/ 7007051 h 7007051"/>
            <a:gd name="connsiteX37" fmla="*/ 12900 w 4639719"/>
            <a:gd name="connsiteY37" fmla="*/ 6992686 h 7007051"/>
            <a:gd name="connsiteX0" fmla="*/ 12900 w 4639719"/>
            <a:gd name="connsiteY0" fmla="*/ 6992686 h 7007051"/>
            <a:gd name="connsiteX1" fmla="*/ 12900 w 4639719"/>
            <a:gd name="connsiteY1" fmla="*/ 2611187 h 7007051"/>
            <a:gd name="connsiteX2" fmla="*/ 4000 w 4639719"/>
            <a:gd name="connsiteY2" fmla="*/ 1239764 h 7007051"/>
            <a:gd name="connsiteX3" fmla="*/ 4000 w 4639719"/>
            <a:gd name="connsiteY3" fmla="*/ 17389 h 7007051"/>
            <a:gd name="connsiteX4" fmla="*/ 1632181 w 4639719"/>
            <a:gd name="connsiteY4" fmla="*/ 0 h 7007051"/>
            <a:gd name="connsiteX5" fmla="*/ 1644235 w 4639719"/>
            <a:gd name="connsiteY5" fmla="*/ 654878 h 7007051"/>
            <a:gd name="connsiteX6" fmla="*/ 1721297 w 4639719"/>
            <a:gd name="connsiteY6" fmla="*/ 795713 h 7007051"/>
            <a:gd name="connsiteX7" fmla="*/ 1632323 w 4639719"/>
            <a:gd name="connsiteY7" fmla="*/ 960913 h 7007051"/>
            <a:gd name="connsiteX8" fmla="*/ 1555131 w 4639719"/>
            <a:gd name="connsiteY8" fmla="*/ 1525409 h 7007051"/>
            <a:gd name="connsiteX9" fmla="*/ 1026665 w 4639719"/>
            <a:gd name="connsiteY9" fmla="*/ 2014444 h 7007051"/>
            <a:gd name="connsiteX10" fmla="*/ 1060681 w 4639719"/>
            <a:gd name="connsiteY10" fmla="*/ 2629783 h 7007051"/>
            <a:gd name="connsiteX11" fmla="*/ 1205316 w 4639719"/>
            <a:gd name="connsiteY11" fmla="*/ 2847314 h 7007051"/>
            <a:gd name="connsiteX12" fmla="*/ 1341625 w 4639719"/>
            <a:gd name="connsiteY12" fmla="*/ 2961266 h 7007051"/>
            <a:gd name="connsiteX13" fmla="*/ 1496066 w 4639719"/>
            <a:gd name="connsiteY13" fmla="*/ 3027600 h 7007051"/>
            <a:gd name="connsiteX14" fmla="*/ 1659677 w 4639719"/>
            <a:gd name="connsiteY14" fmla="*/ 3056146 h 7007051"/>
            <a:gd name="connsiteX15" fmla="*/ 1858486 w 4639719"/>
            <a:gd name="connsiteY15" fmla="*/ 3154588 h 7007051"/>
            <a:gd name="connsiteX16" fmla="*/ 2351038 w 4639719"/>
            <a:gd name="connsiteY16" fmla="*/ 3129513 h 7007051"/>
            <a:gd name="connsiteX17" fmla="*/ 2760371 w 4639719"/>
            <a:gd name="connsiteY17" fmla="*/ 3010535 h 7007051"/>
            <a:gd name="connsiteX18" fmla="*/ 2550152 w 4639719"/>
            <a:gd name="connsiteY18" fmla="*/ 3369679 h 7007051"/>
            <a:gd name="connsiteX19" fmla="*/ 2872045 w 4639719"/>
            <a:gd name="connsiteY19" fmla="*/ 3481342 h 7007051"/>
            <a:gd name="connsiteX20" fmla="*/ 3356020 w 4639719"/>
            <a:gd name="connsiteY20" fmla="*/ 3741583 h 7007051"/>
            <a:gd name="connsiteX21" fmla="*/ 3383911 w 4639719"/>
            <a:gd name="connsiteY21" fmla="*/ 4018854 h 7007051"/>
            <a:gd name="connsiteX22" fmla="*/ 3611651 w 4639719"/>
            <a:gd name="connsiteY22" fmla="*/ 4189085 h 7007051"/>
            <a:gd name="connsiteX23" fmla="*/ 3562243 w 4639719"/>
            <a:gd name="connsiteY23" fmla="*/ 4462626 h 7007051"/>
            <a:gd name="connsiteX24" fmla="*/ 3467805 w 4639719"/>
            <a:gd name="connsiteY24" fmla="*/ 4661583 h 7007051"/>
            <a:gd name="connsiteX25" fmla="*/ 3668060 w 4639719"/>
            <a:gd name="connsiteY25" fmla="*/ 4707646 h 7007051"/>
            <a:gd name="connsiteX26" fmla="*/ 3745746 w 4639719"/>
            <a:gd name="connsiteY26" fmla="*/ 4741627 h 7007051"/>
            <a:gd name="connsiteX27" fmla="*/ 3719012 w 4639719"/>
            <a:gd name="connsiteY27" fmla="*/ 5046272 h 7007051"/>
            <a:gd name="connsiteX28" fmla="*/ 4083088 w 4639719"/>
            <a:gd name="connsiteY28" fmla="*/ 5180238 h 7007051"/>
            <a:gd name="connsiteX29" fmla="*/ 4117263 w 4639719"/>
            <a:gd name="connsiteY29" fmla="*/ 5383001 h 7007051"/>
            <a:gd name="connsiteX30" fmla="*/ 4312130 w 4639719"/>
            <a:gd name="connsiteY30" fmla="*/ 5401041 h 7007051"/>
            <a:gd name="connsiteX31" fmla="*/ 4303586 w 4639719"/>
            <a:gd name="connsiteY31" fmla="*/ 5592777 h 7007051"/>
            <a:gd name="connsiteX32" fmla="*/ 4511503 w 4639719"/>
            <a:gd name="connsiteY32" fmla="*/ 5532287 h 7007051"/>
            <a:gd name="connsiteX33" fmla="*/ 4516414 w 4639719"/>
            <a:gd name="connsiteY33" fmla="*/ 5753106 h 7007051"/>
            <a:gd name="connsiteX34" fmla="*/ 4305076 w 4639719"/>
            <a:gd name="connsiteY34" fmla="*/ 5803898 h 7007051"/>
            <a:gd name="connsiteX35" fmla="*/ 3861533 w 4639719"/>
            <a:gd name="connsiteY35" fmla="*/ 6384094 h 7007051"/>
            <a:gd name="connsiteX36" fmla="*/ 4454205 w 4639719"/>
            <a:gd name="connsiteY36" fmla="*/ 7007051 h 7007051"/>
            <a:gd name="connsiteX37" fmla="*/ 12900 w 4639719"/>
            <a:gd name="connsiteY37" fmla="*/ 6992686 h 7007051"/>
            <a:gd name="connsiteX0" fmla="*/ 12900 w 4639719"/>
            <a:gd name="connsiteY0" fmla="*/ 6992686 h 7007051"/>
            <a:gd name="connsiteX1" fmla="*/ 12900 w 4639719"/>
            <a:gd name="connsiteY1" fmla="*/ 2611187 h 7007051"/>
            <a:gd name="connsiteX2" fmla="*/ 4000 w 4639719"/>
            <a:gd name="connsiteY2" fmla="*/ 1239764 h 7007051"/>
            <a:gd name="connsiteX3" fmla="*/ 4000 w 4639719"/>
            <a:gd name="connsiteY3" fmla="*/ 17389 h 7007051"/>
            <a:gd name="connsiteX4" fmla="*/ 1632181 w 4639719"/>
            <a:gd name="connsiteY4" fmla="*/ 0 h 7007051"/>
            <a:gd name="connsiteX5" fmla="*/ 1644235 w 4639719"/>
            <a:gd name="connsiteY5" fmla="*/ 654878 h 7007051"/>
            <a:gd name="connsiteX6" fmla="*/ 1721297 w 4639719"/>
            <a:gd name="connsiteY6" fmla="*/ 795713 h 7007051"/>
            <a:gd name="connsiteX7" fmla="*/ 1632323 w 4639719"/>
            <a:gd name="connsiteY7" fmla="*/ 960913 h 7007051"/>
            <a:gd name="connsiteX8" fmla="*/ 1555131 w 4639719"/>
            <a:gd name="connsiteY8" fmla="*/ 1525409 h 7007051"/>
            <a:gd name="connsiteX9" fmla="*/ 1026665 w 4639719"/>
            <a:gd name="connsiteY9" fmla="*/ 2014444 h 7007051"/>
            <a:gd name="connsiteX10" fmla="*/ 1060681 w 4639719"/>
            <a:gd name="connsiteY10" fmla="*/ 2629783 h 7007051"/>
            <a:gd name="connsiteX11" fmla="*/ 1205316 w 4639719"/>
            <a:gd name="connsiteY11" fmla="*/ 2847314 h 7007051"/>
            <a:gd name="connsiteX12" fmla="*/ 1341625 w 4639719"/>
            <a:gd name="connsiteY12" fmla="*/ 2961266 h 7007051"/>
            <a:gd name="connsiteX13" fmla="*/ 1496066 w 4639719"/>
            <a:gd name="connsiteY13" fmla="*/ 3027600 h 7007051"/>
            <a:gd name="connsiteX14" fmla="*/ 1659677 w 4639719"/>
            <a:gd name="connsiteY14" fmla="*/ 3056146 h 7007051"/>
            <a:gd name="connsiteX15" fmla="*/ 1858486 w 4639719"/>
            <a:gd name="connsiteY15" fmla="*/ 3154588 h 7007051"/>
            <a:gd name="connsiteX16" fmla="*/ 2351038 w 4639719"/>
            <a:gd name="connsiteY16" fmla="*/ 3129513 h 7007051"/>
            <a:gd name="connsiteX17" fmla="*/ 2739380 w 4639719"/>
            <a:gd name="connsiteY17" fmla="*/ 2955622 h 7007051"/>
            <a:gd name="connsiteX18" fmla="*/ 2550152 w 4639719"/>
            <a:gd name="connsiteY18" fmla="*/ 3369679 h 7007051"/>
            <a:gd name="connsiteX19" fmla="*/ 2872045 w 4639719"/>
            <a:gd name="connsiteY19" fmla="*/ 3481342 h 7007051"/>
            <a:gd name="connsiteX20" fmla="*/ 3356020 w 4639719"/>
            <a:gd name="connsiteY20" fmla="*/ 3741583 h 7007051"/>
            <a:gd name="connsiteX21" fmla="*/ 3383911 w 4639719"/>
            <a:gd name="connsiteY21" fmla="*/ 4018854 h 7007051"/>
            <a:gd name="connsiteX22" fmla="*/ 3611651 w 4639719"/>
            <a:gd name="connsiteY22" fmla="*/ 4189085 h 7007051"/>
            <a:gd name="connsiteX23" fmla="*/ 3562243 w 4639719"/>
            <a:gd name="connsiteY23" fmla="*/ 4462626 h 7007051"/>
            <a:gd name="connsiteX24" fmla="*/ 3467805 w 4639719"/>
            <a:gd name="connsiteY24" fmla="*/ 4661583 h 7007051"/>
            <a:gd name="connsiteX25" fmla="*/ 3668060 w 4639719"/>
            <a:gd name="connsiteY25" fmla="*/ 4707646 h 7007051"/>
            <a:gd name="connsiteX26" fmla="*/ 3745746 w 4639719"/>
            <a:gd name="connsiteY26" fmla="*/ 4741627 h 7007051"/>
            <a:gd name="connsiteX27" fmla="*/ 3719012 w 4639719"/>
            <a:gd name="connsiteY27" fmla="*/ 5046272 h 7007051"/>
            <a:gd name="connsiteX28" fmla="*/ 4083088 w 4639719"/>
            <a:gd name="connsiteY28" fmla="*/ 5180238 h 7007051"/>
            <a:gd name="connsiteX29" fmla="*/ 4117263 w 4639719"/>
            <a:gd name="connsiteY29" fmla="*/ 5383001 h 7007051"/>
            <a:gd name="connsiteX30" fmla="*/ 4312130 w 4639719"/>
            <a:gd name="connsiteY30" fmla="*/ 5401041 h 7007051"/>
            <a:gd name="connsiteX31" fmla="*/ 4303586 w 4639719"/>
            <a:gd name="connsiteY31" fmla="*/ 5592777 h 7007051"/>
            <a:gd name="connsiteX32" fmla="*/ 4511503 w 4639719"/>
            <a:gd name="connsiteY32" fmla="*/ 5532287 h 7007051"/>
            <a:gd name="connsiteX33" fmla="*/ 4516414 w 4639719"/>
            <a:gd name="connsiteY33" fmla="*/ 5753106 h 7007051"/>
            <a:gd name="connsiteX34" fmla="*/ 4305076 w 4639719"/>
            <a:gd name="connsiteY34" fmla="*/ 5803898 h 7007051"/>
            <a:gd name="connsiteX35" fmla="*/ 3861533 w 4639719"/>
            <a:gd name="connsiteY35" fmla="*/ 6384094 h 7007051"/>
            <a:gd name="connsiteX36" fmla="*/ 4454205 w 4639719"/>
            <a:gd name="connsiteY36" fmla="*/ 7007051 h 7007051"/>
            <a:gd name="connsiteX37" fmla="*/ 12900 w 4639719"/>
            <a:gd name="connsiteY37" fmla="*/ 6992686 h 7007051"/>
            <a:gd name="connsiteX0" fmla="*/ 12900 w 4639719"/>
            <a:gd name="connsiteY0" fmla="*/ 6992686 h 7007051"/>
            <a:gd name="connsiteX1" fmla="*/ 12900 w 4639719"/>
            <a:gd name="connsiteY1" fmla="*/ 2611187 h 7007051"/>
            <a:gd name="connsiteX2" fmla="*/ 4000 w 4639719"/>
            <a:gd name="connsiteY2" fmla="*/ 1239764 h 7007051"/>
            <a:gd name="connsiteX3" fmla="*/ 4000 w 4639719"/>
            <a:gd name="connsiteY3" fmla="*/ 17389 h 7007051"/>
            <a:gd name="connsiteX4" fmla="*/ 1632181 w 4639719"/>
            <a:gd name="connsiteY4" fmla="*/ 0 h 7007051"/>
            <a:gd name="connsiteX5" fmla="*/ 1644235 w 4639719"/>
            <a:gd name="connsiteY5" fmla="*/ 654878 h 7007051"/>
            <a:gd name="connsiteX6" fmla="*/ 1721297 w 4639719"/>
            <a:gd name="connsiteY6" fmla="*/ 795713 h 7007051"/>
            <a:gd name="connsiteX7" fmla="*/ 1632323 w 4639719"/>
            <a:gd name="connsiteY7" fmla="*/ 960913 h 7007051"/>
            <a:gd name="connsiteX8" fmla="*/ 1555131 w 4639719"/>
            <a:gd name="connsiteY8" fmla="*/ 1525409 h 7007051"/>
            <a:gd name="connsiteX9" fmla="*/ 1026665 w 4639719"/>
            <a:gd name="connsiteY9" fmla="*/ 2014444 h 7007051"/>
            <a:gd name="connsiteX10" fmla="*/ 1060681 w 4639719"/>
            <a:gd name="connsiteY10" fmla="*/ 2629783 h 7007051"/>
            <a:gd name="connsiteX11" fmla="*/ 1205316 w 4639719"/>
            <a:gd name="connsiteY11" fmla="*/ 2847314 h 7007051"/>
            <a:gd name="connsiteX12" fmla="*/ 1341625 w 4639719"/>
            <a:gd name="connsiteY12" fmla="*/ 2961266 h 7007051"/>
            <a:gd name="connsiteX13" fmla="*/ 1496066 w 4639719"/>
            <a:gd name="connsiteY13" fmla="*/ 3027600 h 7007051"/>
            <a:gd name="connsiteX14" fmla="*/ 1659677 w 4639719"/>
            <a:gd name="connsiteY14" fmla="*/ 3056146 h 7007051"/>
            <a:gd name="connsiteX15" fmla="*/ 1858486 w 4639719"/>
            <a:gd name="connsiteY15" fmla="*/ 3154588 h 7007051"/>
            <a:gd name="connsiteX16" fmla="*/ 2351038 w 4639719"/>
            <a:gd name="connsiteY16" fmla="*/ 3129513 h 7007051"/>
            <a:gd name="connsiteX17" fmla="*/ 2739380 w 4639719"/>
            <a:gd name="connsiteY17" fmla="*/ 2955622 h 7007051"/>
            <a:gd name="connsiteX18" fmla="*/ 2665909 w 4639719"/>
            <a:gd name="connsiteY18" fmla="*/ 3074599 h 7007051"/>
            <a:gd name="connsiteX19" fmla="*/ 2550152 w 4639719"/>
            <a:gd name="connsiteY19" fmla="*/ 3369679 h 7007051"/>
            <a:gd name="connsiteX20" fmla="*/ 2872045 w 4639719"/>
            <a:gd name="connsiteY20" fmla="*/ 3481342 h 7007051"/>
            <a:gd name="connsiteX21" fmla="*/ 3356020 w 4639719"/>
            <a:gd name="connsiteY21" fmla="*/ 3741583 h 7007051"/>
            <a:gd name="connsiteX22" fmla="*/ 3383911 w 4639719"/>
            <a:gd name="connsiteY22" fmla="*/ 4018854 h 7007051"/>
            <a:gd name="connsiteX23" fmla="*/ 3611651 w 4639719"/>
            <a:gd name="connsiteY23" fmla="*/ 4189085 h 7007051"/>
            <a:gd name="connsiteX24" fmla="*/ 3562243 w 4639719"/>
            <a:gd name="connsiteY24" fmla="*/ 4462626 h 7007051"/>
            <a:gd name="connsiteX25" fmla="*/ 3467805 w 4639719"/>
            <a:gd name="connsiteY25" fmla="*/ 4661583 h 7007051"/>
            <a:gd name="connsiteX26" fmla="*/ 3668060 w 4639719"/>
            <a:gd name="connsiteY26" fmla="*/ 4707646 h 7007051"/>
            <a:gd name="connsiteX27" fmla="*/ 3745746 w 4639719"/>
            <a:gd name="connsiteY27" fmla="*/ 4741627 h 7007051"/>
            <a:gd name="connsiteX28" fmla="*/ 3719012 w 4639719"/>
            <a:gd name="connsiteY28" fmla="*/ 5046272 h 7007051"/>
            <a:gd name="connsiteX29" fmla="*/ 4083088 w 4639719"/>
            <a:gd name="connsiteY29" fmla="*/ 5180238 h 7007051"/>
            <a:gd name="connsiteX30" fmla="*/ 4117263 w 4639719"/>
            <a:gd name="connsiteY30" fmla="*/ 5383001 h 7007051"/>
            <a:gd name="connsiteX31" fmla="*/ 4312130 w 4639719"/>
            <a:gd name="connsiteY31" fmla="*/ 5401041 h 7007051"/>
            <a:gd name="connsiteX32" fmla="*/ 4303586 w 4639719"/>
            <a:gd name="connsiteY32" fmla="*/ 5592777 h 7007051"/>
            <a:gd name="connsiteX33" fmla="*/ 4511503 w 4639719"/>
            <a:gd name="connsiteY33" fmla="*/ 5532287 h 7007051"/>
            <a:gd name="connsiteX34" fmla="*/ 4516414 w 4639719"/>
            <a:gd name="connsiteY34" fmla="*/ 5753106 h 7007051"/>
            <a:gd name="connsiteX35" fmla="*/ 4305076 w 4639719"/>
            <a:gd name="connsiteY35" fmla="*/ 5803898 h 7007051"/>
            <a:gd name="connsiteX36" fmla="*/ 3861533 w 4639719"/>
            <a:gd name="connsiteY36" fmla="*/ 6384094 h 7007051"/>
            <a:gd name="connsiteX37" fmla="*/ 4454205 w 4639719"/>
            <a:gd name="connsiteY37" fmla="*/ 7007051 h 7007051"/>
            <a:gd name="connsiteX38" fmla="*/ 12900 w 4639719"/>
            <a:gd name="connsiteY38" fmla="*/ 6992686 h 7007051"/>
            <a:gd name="connsiteX0" fmla="*/ 12900 w 4639719"/>
            <a:gd name="connsiteY0" fmla="*/ 6992686 h 7007051"/>
            <a:gd name="connsiteX1" fmla="*/ 12900 w 4639719"/>
            <a:gd name="connsiteY1" fmla="*/ 2611187 h 7007051"/>
            <a:gd name="connsiteX2" fmla="*/ 4000 w 4639719"/>
            <a:gd name="connsiteY2" fmla="*/ 1239764 h 7007051"/>
            <a:gd name="connsiteX3" fmla="*/ 4000 w 4639719"/>
            <a:gd name="connsiteY3" fmla="*/ 17389 h 7007051"/>
            <a:gd name="connsiteX4" fmla="*/ 1632181 w 4639719"/>
            <a:gd name="connsiteY4" fmla="*/ 0 h 7007051"/>
            <a:gd name="connsiteX5" fmla="*/ 1644235 w 4639719"/>
            <a:gd name="connsiteY5" fmla="*/ 654878 h 7007051"/>
            <a:gd name="connsiteX6" fmla="*/ 1721297 w 4639719"/>
            <a:gd name="connsiteY6" fmla="*/ 795713 h 7007051"/>
            <a:gd name="connsiteX7" fmla="*/ 1632323 w 4639719"/>
            <a:gd name="connsiteY7" fmla="*/ 960913 h 7007051"/>
            <a:gd name="connsiteX8" fmla="*/ 1555131 w 4639719"/>
            <a:gd name="connsiteY8" fmla="*/ 1525409 h 7007051"/>
            <a:gd name="connsiteX9" fmla="*/ 1026665 w 4639719"/>
            <a:gd name="connsiteY9" fmla="*/ 2014444 h 7007051"/>
            <a:gd name="connsiteX10" fmla="*/ 1060681 w 4639719"/>
            <a:gd name="connsiteY10" fmla="*/ 2629783 h 7007051"/>
            <a:gd name="connsiteX11" fmla="*/ 1205316 w 4639719"/>
            <a:gd name="connsiteY11" fmla="*/ 2847314 h 7007051"/>
            <a:gd name="connsiteX12" fmla="*/ 1341625 w 4639719"/>
            <a:gd name="connsiteY12" fmla="*/ 2961266 h 7007051"/>
            <a:gd name="connsiteX13" fmla="*/ 1496066 w 4639719"/>
            <a:gd name="connsiteY13" fmla="*/ 3027600 h 7007051"/>
            <a:gd name="connsiteX14" fmla="*/ 1659677 w 4639719"/>
            <a:gd name="connsiteY14" fmla="*/ 3056146 h 7007051"/>
            <a:gd name="connsiteX15" fmla="*/ 1858486 w 4639719"/>
            <a:gd name="connsiteY15" fmla="*/ 3154588 h 7007051"/>
            <a:gd name="connsiteX16" fmla="*/ 2351038 w 4639719"/>
            <a:gd name="connsiteY16" fmla="*/ 3129513 h 7007051"/>
            <a:gd name="connsiteX17" fmla="*/ 2739380 w 4639719"/>
            <a:gd name="connsiteY17" fmla="*/ 2955622 h 7007051"/>
            <a:gd name="connsiteX18" fmla="*/ 2812850 w 4639719"/>
            <a:gd name="connsiteY18" fmla="*/ 3037991 h 7007051"/>
            <a:gd name="connsiteX19" fmla="*/ 2550152 w 4639719"/>
            <a:gd name="connsiteY19" fmla="*/ 3369679 h 7007051"/>
            <a:gd name="connsiteX20" fmla="*/ 2872045 w 4639719"/>
            <a:gd name="connsiteY20" fmla="*/ 3481342 h 7007051"/>
            <a:gd name="connsiteX21" fmla="*/ 3356020 w 4639719"/>
            <a:gd name="connsiteY21" fmla="*/ 3741583 h 7007051"/>
            <a:gd name="connsiteX22" fmla="*/ 3383911 w 4639719"/>
            <a:gd name="connsiteY22" fmla="*/ 4018854 h 7007051"/>
            <a:gd name="connsiteX23" fmla="*/ 3611651 w 4639719"/>
            <a:gd name="connsiteY23" fmla="*/ 4189085 h 7007051"/>
            <a:gd name="connsiteX24" fmla="*/ 3562243 w 4639719"/>
            <a:gd name="connsiteY24" fmla="*/ 4462626 h 7007051"/>
            <a:gd name="connsiteX25" fmla="*/ 3467805 w 4639719"/>
            <a:gd name="connsiteY25" fmla="*/ 4661583 h 7007051"/>
            <a:gd name="connsiteX26" fmla="*/ 3668060 w 4639719"/>
            <a:gd name="connsiteY26" fmla="*/ 4707646 h 7007051"/>
            <a:gd name="connsiteX27" fmla="*/ 3745746 w 4639719"/>
            <a:gd name="connsiteY27" fmla="*/ 4741627 h 7007051"/>
            <a:gd name="connsiteX28" fmla="*/ 3719012 w 4639719"/>
            <a:gd name="connsiteY28" fmla="*/ 5046272 h 7007051"/>
            <a:gd name="connsiteX29" fmla="*/ 4083088 w 4639719"/>
            <a:gd name="connsiteY29" fmla="*/ 5180238 h 7007051"/>
            <a:gd name="connsiteX30" fmla="*/ 4117263 w 4639719"/>
            <a:gd name="connsiteY30" fmla="*/ 5383001 h 7007051"/>
            <a:gd name="connsiteX31" fmla="*/ 4312130 w 4639719"/>
            <a:gd name="connsiteY31" fmla="*/ 5401041 h 7007051"/>
            <a:gd name="connsiteX32" fmla="*/ 4303586 w 4639719"/>
            <a:gd name="connsiteY32" fmla="*/ 5592777 h 7007051"/>
            <a:gd name="connsiteX33" fmla="*/ 4511503 w 4639719"/>
            <a:gd name="connsiteY33" fmla="*/ 5532287 h 7007051"/>
            <a:gd name="connsiteX34" fmla="*/ 4516414 w 4639719"/>
            <a:gd name="connsiteY34" fmla="*/ 5753106 h 7007051"/>
            <a:gd name="connsiteX35" fmla="*/ 4305076 w 4639719"/>
            <a:gd name="connsiteY35" fmla="*/ 5803898 h 7007051"/>
            <a:gd name="connsiteX36" fmla="*/ 3861533 w 4639719"/>
            <a:gd name="connsiteY36" fmla="*/ 6384094 h 7007051"/>
            <a:gd name="connsiteX37" fmla="*/ 4454205 w 4639719"/>
            <a:gd name="connsiteY37" fmla="*/ 7007051 h 7007051"/>
            <a:gd name="connsiteX38" fmla="*/ 12900 w 4639719"/>
            <a:gd name="connsiteY38" fmla="*/ 6992686 h 7007051"/>
            <a:gd name="connsiteX0" fmla="*/ 12900 w 4639719"/>
            <a:gd name="connsiteY0" fmla="*/ 6992686 h 7007051"/>
            <a:gd name="connsiteX1" fmla="*/ 12900 w 4639719"/>
            <a:gd name="connsiteY1" fmla="*/ 2611187 h 7007051"/>
            <a:gd name="connsiteX2" fmla="*/ 4000 w 4639719"/>
            <a:gd name="connsiteY2" fmla="*/ 1239764 h 7007051"/>
            <a:gd name="connsiteX3" fmla="*/ 4000 w 4639719"/>
            <a:gd name="connsiteY3" fmla="*/ 17389 h 7007051"/>
            <a:gd name="connsiteX4" fmla="*/ 1632181 w 4639719"/>
            <a:gd name="connsiteY4" fmla="*/ 0 h 7007051"/>
            <a:gd name="connsiteX5" fmla="*/ 1644235 w 4639719"/>
            <a:gd name="connsiteY5" fmla="*/ 654878 h 7007051"/>
            <a:gd name="connsiteX6" fmla="*/ 1721297 w 4639719"/>
            <a:gd name="connsiteY6" fmla="*/ 795713 h 7007051"/>
            <a:gd name="connsiteX7" fmla="*/ 1632323 w 4639719"/>
            <a:gd name="connsiteY7" fmla="*/ 960913 h 7007051"/>
            <a:gd name="connsiteX8" fmla="*/ 1555131 w 4639719"/>
            <a:gd name="connsiteY8" fmla="*/ 1525409 h 7007051"/>
            <a:gd name="connsiteX9" fmla="*/ 1026665 w 4639719"/>
            <a:gd name="connsiteY9" fmla="*/ 2014444 h 7007051"/>
            <a:gd name="connsiteX10" fmla="*/ 1060681 w 4639719"/>
            <a:gd name="connsiteY10" fmla="*/ 2629783 h 7007051"/>
            <a:gd name="connsiteX11" fmla="*/ 1205316 w 4639719"/>
            <a:gd name="connsiteY11" fmla="*/ 2847314 h 7007051"/>
            <a:gd name="connsiteX12" fmla="*/ 1341625 w 4639719"/>
            <a:gd name="connsiteY12" fmla="*/ 2961266 h 7007051"/>
            <a:gd name="connsiteX13" fmla="*/ 1496066 w 4639719"/>
            <a:gd name="connsiteY13" fmla="*/ 3027600 h 7007051"/>
            <a:gd name="connsiteX14" fmla="*/ 1659677 w 4639719"/>
            <a:gd name="connsiteY14" fmla="*/ 3056146 h 7007051"/>
            <a:gd name="connsiteX15" fmla="*/ 1858486 w 4639719"/>
            <a:gd name="connsiteY15" fmla="*/ 3154588 h 7007051"/>
            <a:gd name="connsiteX16" fmla="*/ 2351038 w 4639719"/>
            <a:gd name="connsiteY16" fmla="*/ 3129513 h 7007051"/>
            <a:gd name="connsiteX17" fmla="*/ 2655415 w 4639719"/>
            <a:gd name="connsiteY17" fmla="*/ 3010535 h 7007051"/>
            <a:gd name="connsiteX18" fmla="*/ 2812850 w 4639719"/>
            <a:gd name="connsiteY18" fmla="*/ 3037991 h 7007051"/>
            <a:gd name="connsiteX19" fmla="*/ 2550152 w 4639719"/>
            <a:gd name="connsiteY19" fmla="*/ 3369679 h 7007051"/>
            <a:gd name="connsiteX20" fmla="*/ 2872045 w 4639719"/>
            <a:gd name="connsiteY20" fmla="*/ 3481342 h 7007051"/>
            <a:gd name="connsiteX21" fmla="*/ 3356020 w 4639719"/>
            <a:gd name="connsiteY21" fmla="*/ 3741583 h 7007051"/>
            <a:gd name="connsiteX22" fmla="*/ 3383911 w 4639719"/>
            <a:gd name="connsiteY22" fmla="*/ 4018854 h 7007051"/>
            <a:gd name="connsiteX23" fmla="*/ 3611651 w 4639719"/>
            <a:gd name="connsiteY23" fmla="*/ 4189085 h 7007051"/>
            <a:gd name="connsiteX24" fmla="*/ 3562243 w 4639719"/>
            <a:gd name="connsiteY24" fmla="*/ 4462626 h 7007051"/>
            <a:gd name="connsiteX25" fmla="*/ 3467805 w 4639719"/>
            <a:gd name="connsiteY25" fmla="*/ 4661583 h 7007051"/>
            <a:gd name="connsiteX26" fmla="*/ 3668060 w 4639719"/>
            <a:gd name="connsiteY26" fmla="*/ 4707646 h 7007051"/>
            <a:gd name="connsiteX27" fmla="*/ 3745746 w 4639719"/>
            <a:gd name="connsiteY27" fmla="*/ 4741627 h 7007051"/>
            <a:gd name="connsiteX28" fmla="*/ 3719012 w 4639719"/>
            <a:gd name="connsiteY28" fmla="*/ 5046272 h 7007051"/>
            <a:gd name="connsiteX29" fmla="*/ 4083088 w 4639719"/>
            <a:gd name="connsiteY29" fmla="*/ 5180238 h 7007051"/>
            <a:gd name="connsiteX30" fmla="*/ 4117263 w 4639719"/>
            <a:gd name="connsiteY30" fmla="*/ 5383001 h 7007051"/>
            <a:gd name="connsiteX31" fmla="*/ 4312130 w 4639719"/>
            <a:gd name="connsiteY31" fmla="*/ 5401041 h 7007051"/>
            <a:gd name="connsiteX32" fmla="*/ 4303586 w 4639719"/>
            <a:gd name="connsiteY32" fmla="*/ 5592777 h 7007051"/>
            <a:gd name="connsiteX33" fmla="*/ 4511503 w 4639719"/>
            <a:gd name="connsiteY33" fmla="*/ 5532287 h 7007051"/>
            <a:gd name="connsiteX34" fmla="*/ 4516414 w 4639719"/>
            <a:gd name="connsiteY34" fmla="*/ 5753106 h 7007051"/>
            <a:gd name="connsiteX35" fmla="*/ 4305076 w 4639719"/>
            <a:gd name="connsiteY35" fmla="*/ 5803898 h 7007051"/>
            <a:gd name="connsiteX36" fmla="*/ 3861533 w 4639719"/>
            <a:gd name="connsiteY36" fmla="*/ 6384094 h 7007051"/>
            <a:gd name="connsiteX37" fmla="*/ 4454205 w 4639719"/>
            <a:gd name="connsiteY37" fmla="*/ 7007051 h 7007051"/>
            <a:gd name="connsiteX38" fmla="*/ 12900 w 4639719"/>
            <a:gd name="connsiteY38" fmla="*/ 6992686 h 7007051"/>
            <a:gd name="connsiteX0" fmla="*/ 12900 w 4639719"/>
            <a:gd name="connsiteY0" fmla="*/ 6992686 h 7007051"/>
            <a:gd name="connsiteX1" fmla="*/ 12900 w 4639719"/>
            <a:gd name="connsiteY1" fmla="*/ 2611187 h 7007051"/>
            <a:gd name="connsiteX2" fmla="*/ 4000 w 4639719"/>
            <a:gd name="connsiteY2" fmla="*/ 1239764 h 7007051"/>
            <a:gd name="connsiteX3" fmla="*/ 4000 w 4639719"/>
            <a:gd name="connsiteY3" fmla="*/ 17389 h 7007051"/>
            <a:gd name="connsiteX4" fmla="*/ 1632181 w 4639719"/>
            <a:gd name="connsiteY4" fmla="*/ 0 h 7007051"/>
            <a:gd name="connsiteX5" fmla="*/ 1644235 w 4639719"/>
            <a:gd name="connsiteY5" fmla="*/ 654878 h 7007051"/>
            <a:gd name="connsiteX6" fmla="*/ 1721297 w 4639719"/>
            <a:gd name="connsiteY6" fmla="*/ 795713 h 7007051"/>
            <a:gd name="connsiteX7" fmla="*/ 1632323 w 4639719"/>
            <a:gd name="connsiteY7" fmla="*/ 960913 h 7007051"/>
            <a:gd name="connsiteX8" fmla="*/ 1555131 w 4639719"/>
            <a:gd name="connsiteY8" fmla="*/ 1525409 h 7007051"/>
            <a:gd name="connsiteX9" fmla="*/ 1026665 w 4639719"/>
            <a:gd name="connsiteY9" fmla="*/ 2014444 h 7007051"/>
            <a:gd name="connsiteX10" fmla="*/ 1060681 w 4639719"/>
            <a:gd name="connsiteY10" fmla="*/ 2629783 h 7007051"/>
            <a:gd name="connsiteX11" fmla="*/ 1205316 w 4639719"/>
            <a:gd name="connsiteY11" fmla="*/ 2847314 h 7007051"/>
            <a:gd name="connsiteX12" fmla="*/ 1341625 w 4639719"/>
            <a:gd name="connsiteY12" fmla="*/ 2961266 h 7007051"/>
            <a:gd name="connsiteX13" fmla="*/ 1496066 w 4639719"/>
            <a:gd name="connsiteY13" fmla="*/ 3027600 h 7007051"/>
            <a:gd name="connsiteX14" fmla="*/ 1659677 w 4639719"/>
            <a:gd name="connsiteY14" fmla="*/ 3056146 h 7007051"/>
            <a:gd name="connsiteX15" fmla="*/ 1858486 w 4639719"/>
            <a:gd name="connsiteY15" fmla="*/ 3154588 h 7007051"/>
            <a:gd name="connsiteX16" fmla="*/ 2351038 w 4639719"/>
            <a:gd name="connsiteY16" fmla="*/ 3129513 h 7007051"/>
            <a:gd name="connsiteX17" fmla="*/ 2655415 w 4639719"/>
            <a:gd name="connsiteY17" fmla="*/ 3010535 h 7007051"/>
            <a:gd name="connsiteX18" fmla="*/ 2781363 w 4639719"/>
            <a:gd name="connsiteY18" fmla="*/ 3120361 h 7007051"/>
            <a:gd name="connsiteX19" fmla="*/ 2550152 w 4639719"/>
            <a:gd name="connsiteY19" fmla="*/ 3369679 h 7007051"/>
            <a:gd name="connsiteX20" fmla="*/ 2872045 w 4639719"/>
            <a:gd name="connsiteY20" fmla="*/ 3481342 h 7007051"/>
            <a:gd name="connsiteX21" fmla="*/ 3356020 w 4639719"/>
            <a:gd name="connsiteY21" fmla="*/ 3741583 h 7007051"/>
            <a:gd name="connsiteX22" fmla="*/ 3383911 w 4639719"/>
            <a:gd name="connsiteY22" fmla="*/ 4018854 h 7007051"/>
            <a:gd name="connsiteX23" fmla="*/ 3611651 w 4639719"/>
            <a:gd name="connsiteY23" fmla="*/ 4189085 h 7007051"/>
            <a:gd name="connsiteX24" fmla="*/ 3562243 w 4639719"/>
            <a:gd name="connsiteY24" fmla="*/ 4462626 h 7007051"/>
            <a:gd name="connsiteX25" fmla="*/ 3467805 w 4639719"/>
            <a:gd name="connsiteY25" fmla="*/ 4661583 h 7007051"/>
            <a:gd name="connsiteX26" fmla="*/ 3668060 w 4639719"/>
            <a:gd name="connsiteY26" fmla="*/ 4707646 h 7007051"/>
            <a:gd name="connsiteX27" fmla="*/ 3745746 w 4639719"/>
            <a:gd name="connsiteY27" fmla="*/ 4741627 h 7007051"/>
            <a:gd name="connsiteX28" fmla="*/ 3719012 w 4639719"/>
            <a:gd name="connsiteY28" fmla="*/ 5046272 h 7007051"/>
            <a:gd name="connsiteX29" fmla="*/ 4083088 w 4639719"/>
            <a:gd name="connsiteY29" fmla="*/ 5180238 h 7007051"/>
            <a:gd name="connsiteX30" fmla="*/ 4117263 w 4639719"/>
            <a:gd name="connsiteY30" fmla="*/ 5383001 h 7007051"/>
            <a:gd name="connsiteX31" fmla="*/ 4312130 w 4639719"/>
            <a:gd name="connsiteY31" fmla="*/ 5401041 h 7007051"/>
            <a:gd name="connsiteX32" fmla="*/ 4303586 w 4639719"/>
            <a:gd name="connsiteY32" fmla="*/ 5592777 h 7007051"/>
            <a:gd name="connsiteX33" fmla="*/ 4511503 w 4639719"/>
            <a:gd name="connsiteY33" fmla="*/ 5532287 h 7007051"/>
            <a:gd name="connsiteX34" fmla="*/ 4516414 w 4639719"/>
            <a:gd name="connsiteY34" fmla="*/ 5753106 h 7007051"/>
            <a:gd name="connsiteX35" fmla="*/ 4305076 w 4639719"/>
            <a:gd name="connsiteY35" fmla="*/ 5803898 h 7007051"/>
            <a:gd name="connsiteX36" fmla="*/ 3861533 w 4639719"/>
            <a:gd name="connsiteY36" fmla="*/ 6384094 h 7007051"/>
            <a:gd name="connsiteX37" fmla="*/ 4454205 w 4639719"/>
            <a:gd name="connsiteY37" fmla="*/ 7007051 h 7007051"/>
            <a:gd name="connsiteX38" fmla="*/ 12900 w 4639719"/>
            <a:gd name="connsiteY38" fmla="*/ 6992686 h 7007051"/>
            <a:gd name="connsiteX0" fmla="*/ 12900 w 4639719"/>
            <a:gd name="connsiteY0" fmla="*/ 6992686 h 7007051"/>
            <a:gd name="connsiteX1" fmla="*/ 12900 w 4639719"/>
            <a:gd name="connsiteY1" fmla="*/ 2611187 h 7007051"/>
            <a:gd name="connsiteX2" fmla="*/ 4000 w 4639719"/>
            <a:gd name="connsiteY2" fmla="*/ 1239764 h 7007051"/>
            <a:gd name="connsiteX3" fmla="*/ 4000 w 4639719"/>
            <a:gd name="connsiteY3" fmla="*/ 17389 h 7007051"/>
            <a:gd name="connsiteX4" fmla="*/ 1632181 w 4639719"/>
            <a:gd name="connsiteY4" fmla="*/ 0 h 7007051"/>
            <a:gd name="connsiteX5" fmla="*/ 1644235 w 4639719"/>
            <a:gd name="connsiteY5" fmla="*/ 654878 h 7007051"/>
            <a:gd name="connsiteX6" fmla="*/ 1721297 w 4639719"/>
            <a:gd name="connsiteY6" fmla="*/ 795713 h 7007051"/>
            <a:gd name="connsiteX7" fmla="*/ 1632323 w 4639719"/>
            <a:gd name="connsiteY7" fmla="*/ 960913 h 7007051"/>
            <a:gd name="connsiteX8" fmla="*/ 1555131 w 4639719"/>
            <a:gd name="connsiteY8" fmla="*/ 1525409 h 7007051"/>
            <a:gd name="connsiteX9" fmla="*/ 1026665 w 4639719"/>
            <a:gd name="connsiteY9" fmla="*/ 2014444 h 7007051"/>
            <a:gd name="connsiteX10" fmla="*/ 1060681 w 4639719"/>
            <a:gd name="connsiteY10" fmla="*/ 2629783 h 7007051"/>
            <a:gd name="connsiteX11" fmla="*/ 1205316 w 4639719"/>
            <a:gd name="connsiteY11" fmla="*/ 2847314 h 7007051"/>
            <a:gd name="connsiteX12" fmla="*/ 1341625 w 4639719"/>
            <a:gd name="connsiteY12" fmla="*/ 2961266 h 7007051"/>
            <a:gd name="connsiteX13" fmla="*/ 1496066 w 4639719"/>
            <a:gd name="connsiteY13" fmla="*/ 3027600 h 7007051"/>
            <a:gd name="connsiteX14" fmla="*/ 1659677 w 4639719"/>
            <a:gd name="connsiteY14" fmla="*/ 3056146 h 7007051"/>
            <a:gd name="connsiteX15" fmla="*/ 1858486 w 4639719"/>
            <a:gd name="connsiteY15" fmla="*/ 3154588 h 7007051"/>
            <a:gd name="connsiteX16" fmla="*/ 2351038 w 4639719"/>
            <a:gd name="connsiteY16" fmla="*/ 3129513 h 7007051"/>
            <a:gd name="connsiteX17" fmla="*/ 2665910 w 4639719"/>
            <a:gd name="connsiteY17" fmla="*/ 2964774 h 7007051"/>
            <a:gd name="connsiteX18" fmla="*/ 2781363 w 4639719"/>
            <a:gd name="connsiteY18" fmla="*/ 3120361 h 7007051"/>
            <a:gd name="connsiteX19" fmla="*/ 2550152 w 4639719"/>
            <a:gd name="connsiteY19" fmla="*/ 3369679 h 7007051"/>
            <a:gd name="connsiteX20" fmla="*/ 2872045 w 4639719"/>
            <a:gd name="connsiteY20" fmla="*/ 3481342 h 7007051"/>
            <a:gd name="connsiteX21" fmla="*/ 3356020 w 4639719"/>
            <a:gd name="connsiteY21" fmla="*/ 3741583 h 7007051"/>
            <a:gd name="connsiteX22" fmla="*/ 3383911 w 4639719"/>
            <a:gd name="connsiteY22" fmla="*/ 4018854 h 7007051"/>
            <a:gd name="connsiteX23" fmla="*/ 3611651 w 4639719"/>
            <a:gd name="connsiteY23" fmla="*/ 4189085 h 7007051"/>
            <a:gd name="connsiteX24" fmla="*/ 3562243 w 4639719"/>
            <a:gd name="connsiteY24" fmla="*/ 4462626 h 7007051"/>
            <a:gd name="connsiteX25" fmla="*/ 3467805 w 4639719"/>
            <a:gd name="connsiteY25" fmla="*/ 4661583 h 7007051"/>
            <a:gd name="connsiteX26" fmla="*/ 3668060 w 4639719"/>
            <a:gd name="connsiteY26" fmla="*/ 4707646 h 7007051"/>
            <a:gd name="connsiteX27" fmla="*/ 3745746 w 4639719"/>
            <a:gd name="connsiteY27" fmla="*/ 4741627 h 7007051"/>
            <a:gd name="connsiteX28" fmla="*/ 3719012 w 4639719"/>
            <a:gd name="connsiteY28" fmla="*/ 5046272 h 7007051"/>
            <a:gd name="connsiteX29" fmla="*/ 4083088 w 4639719"/>
            <a:gd name="connsiteY29" fmla="*/ 5180238 h 7007051"/>
            <a:gd name="connsiteX30" fmla="*/ 4117263 w 4639719"/>
            <a:gd name="connsiteY30" fmla="*/ 5383001 h 7007051"/>
            <a:gd name="connsiteX31" fmla="*/ 4312130 w 4639719"/>
            <a:gd name="connsiteY31" fmla="*/ 5401041 h 7007051"/>
            <a:gd name="connsiteX32" fmla="*/ 4303586 w 4639719"/>
            <a:gd name="connsiteY32" fmla="*/ 5592777 h 7007051"/>
            <a:gd name="connsiteX33" fmla="*/ 4511503 w 4639719"/>
            <a:gd name="connsiteY33" fmla="*/ 5532287 h 7007051"/>
            <a:gd name="connsiteX34" fmla="*/ 4516414 w 4639719"/>
            <a:gd name="connsiteY34" fmla="*/ 5753106 h 7007051"/>
            <a:gd name="connsiteX35" fmla="*/ 4305076 w 4639719"/>
            <a:gd name="connsiteY35" fmla="*/ 5803898 h 7007051"/>
            <a:gd name="connsiteX36" fmla="*/ 3861533 w 4639719"/>
            <a:gd name="connsiteY36" fmla="*/ 6384094 h 7007051"/>
            <a:gd name="connsiteX37" fmla="*/ 4454205 w 4639719"/>
            <a:gd name="connsiteY37" fmla="*/ 7007051 h 7007051"/>
            <a:gd name="connsiteX38" fmla="*/ 12900 w 4639719"/>
            <a:gd name="connsiteY38" fmla="*/ 6992686 h 7007051"/>
            <a:gd name="connsiteX0" fmla="*/ 12900 w 4639719"/>
            <a:gd name="connsiteY0" fmla="*/ 6992686 h 7007051"/>
            <a:gd name="connsiteX1" fmla="*/ 12900 w 4639719"/>
            <a:gd name="connsiteY1" fmla="*/ 2611187 h 7007051"/>
            <a:gd name="connsiteX2" fmla="*/ 4000 w 4639719"/>
            <a:gd name="connsiteY2" fmla="*/ 1239764 h 7007051"/>
            <a:gd name="connsiteX3" fmla="*/ 4000 w 4639719"/>
            <a:gd name="connsiteY3" fmla="*/ 17389 h 7007051"/>
            <a:gd name="connsiteX4" fmla="*/ 1632181 w 4639719"/>
            <a:gd name="connsiteY4" fmla="*/ 0 h 7007051"/>
            <a:gd name="connsiteX5" fmla="*/ 1644235 w 4639719"/>
            <a:gd name="connsiteY5" fmla="*/ 654878 h 7007051"/>
            <a:gd name="connsiteX6" fmla="*/ 1721297 w 4639719"/>
            <a:gd name="connsiteY6" fmla="*/ 795713 h 7007051"/>
            <a:gd name="connsiteX7" fmla="*/ 1632323 w 4639719"/>
            <a:gd name="connsiteY7" fmla="*/ 960913 h 7007051"/>
            <a:gd name="connsiteX8" fmla="*/ 1555131 w 4639719"/>
            <a:gd name="connsiteY8" fmla="*/ 1525409 h 7007051"/>
            <a:gd name="connsiteX9" fmla="*/ 1026665 w 4639719"/>
            <a:gd name="connsiteY9" fmla="*/ 2014444 h 7007051"/>
            <a:gd name="connsiteX10" fmla="*/ 1060681 w 4639719"/>
            <a:gd name="connsiteY10" fmla="*/ 2629783 h 7007051"/>
            <a:gd name="connsiteX11" fmla="*/ 1205316 w 4639719"/>
            <a:gd name="connsiteY11" fmla="*/ 2847314 h 7007051"/>
            <a:gd name="connsiteX12" fmla="*/ 1341625 w 4639719"/>
            <a:gd name="connsiteY12" fmla="*/ 2961266 h 7007051"/>
            <a:gd name="connsiteX13" fmla="*/ 1496066 w 4639719"/>
            <a:gd name="connsiteY13" fmla="*/ 3027600 h 7007051"/>
            <a:gd name="connsiteX14" fmla="*/ 1659677 w 4639719"/>
            <a:gd name="connsiteY14" fmla="*/ 3056146 h 7007051"/>
            <a:gd name="connsiteX15" fmla="*/ 1858486 w 4639719"/>
            <a:gd name="connsiteY15" fmla="*/ 3154588 h 7007051"/>
            <a:gd name="connsiteX16" fmla="*/ 2351038 w 4639719"/>
            <a:gd name="connsiteY16" fmla="*/ 3092904 h 7007051"/>
            <a:gd name="connsiteX17" fmla="*/ 2665910 w 4639719"/>
            <a:gd name="connsiteY17" fmla="*/ 2964774 h 7007051"/>
            <a:gd name="connsiteX18" fmla="*/ 2781363 w 4639719"/>
            <a:gd name="connsiteY18" fmla="*/ 3120361 h 7007051"/>
            <a:gd name="connsiteX19" fmla="*/ 2550152 w 4639719"/>
            <a:gd name="connsiteY19" fmla="*/ 3369679 h 7007051"/>
            <a:gd name="connsiteX20" fmla="*/ 2872045 w 4639719"/>
            <a:gd name="connsiteY20" fmla="*/ 3481342 h 7007051"/>
            <a:gd name="connsiteX21" fmla="*/ 3356020 w 4639719"/>
            <a:gd name="connsiteY21" fmla="*/ 3741583 h 7007051"/>
            <a:gd name="connsiteX22" fmla="*/ 3383911 w 4639719"/>
            <a:gd name="connsiteY22" fmla="*/ 4018854 h 7007051"/>
            <a:gd name="connsiteX23" fmla="*/ 3611651 w 4639719"/>
            <a:gd name="connsiteY23" fmla="*/ 4189085 h 7007051"/>
            <a:gd name="connsiteX24" fmla="*/ 3562243 w 4639719"/>
            <a:gd name="connsiteY24" fmla="*/ 4462626 h 7007051"/>
            <a:gd name="connsiteX25" fmla="*/ 3467805 w 4639719"/>
            <a:gd name="connsiteY25" fmla="*/ 4661583 h 7007051"/>
            <a:gd name="connsiteX26" fmla="*/ 3668060 w 4639719"/>
            <a:gd name="connsiteY26" fmla="*/ 4707646 h 7007051"/>
            <a:gd name="connsiteX27" fmla="*/ 3745746 w 4639719"/>
            <a:gd name="connsiteY27" fmla="*/ 4741627 h 7007051"/>
            <a:gd name="connsiteX28" fmla="*/ 3719012 w 4639719"/>
            <a:gd name="connsiteY28" fmla="*/ 5046272 h 7007051"/>
            <a:gd name="connsiteX29" fmla="*/ 4083088 w 4639719"/>
            <a:gd name="connsiteY29" fmla="*/ 5180238 h 7007051"/>
            <a:gd name="connsiteX30" fmla="*/ 4117263 w 4639719"/>
            <a:gd name="connsiteY30" fmla="*/ 5383001 h 7007051"/>
            <a:gd name="connsiteX31" fmla="*/ 4312130 w 4639719"/>
            <a:gd name="connsiteY31" fmla="*/ 5401041 h 7007051"/>
            <a:gd name="connsiteX32" fmla="*/ 4303586 w 4639719"/>
            <a:gd name="connsiteY32" fmla="*/ 5592777 h 7007051"/>
            <a:gd name="connsiteX33" fmla="*/ 4511503 w 4639719"/>
            <a:gd name="connsiteY33" fmla="*/ 5532287 h 7007051"/>
            <a:gd name="connsiteX34" fmla="*/ 4516414 w 4639719"/>
            <a:gd name="connsiteY34" fmla="*/ 5753106 h 7007051"/>
            <a:gd name="connsiteX35" fmla="*/ 4305076 w 4639719"/>
            <a:gd name="connsiteY35" fmla="*/ 5803898 h 7007051"/>
            <a:gd name="connsiteX36" fmla="*/ 3861533 w 4639719"/>
            <a:gd name="connsiteY36" fmla="*/ 6384094 h 7007051"/>
            <a:gd name="connsiteX37" fmla="*/ 4454205 w 4639719"/>
            <a:gd name="connsiteY37" fmla="*/ 7007051 h 7007051"/>
            <a:gd name="connsiteX38" fmla="*/ 12900 w 4639719"/>
            <a:gd name="connsiteY38" fmla="*/ 6992686 h 7007051"/>
            <a:gd name="connsiteX0" fmla="*/ 12900 w 4639719"/>
            <a:gd name="connsiteY0" fmla="*/ 6992686 h 7007051"/>
            <a:gd name="connsiteX1" fmla="*/ 12900 w 4639719"/>
            <a:gd name="connsiteY1" fmla="*/ 2611187 h 7007051"/>
            <a:gd name="connsiteX2" fmla="*/ 4000 w 4639719"/>
            <a:gd name="connsiteY2" fmla="*/ 1239764 h 7007051"/>
            <a:gd name="connsiteX3" fmla="*/ 4000 w 4639719"/>
            <a:gd name="connsiteY3" fmla="*/ 17389 h 7007051"/>
            <a:gd name="connsiteX4" fmla="*/ 1632181 w 4639719"/>
            <a:gd name="connsiteY4" fmla="*/ 0 h 7007051"/>
            <a:gd name="connsiteX5" fmla="*/ 1644235 w 4639719"/>
            <a:gd name="connsiteY5" fmla="*/ 654878 h 7007051"/>
            <a:gd name="connsiteX6" fmla="*/ 1721297 w 4639719"/>
            <a:gd name="connsiteY6" fmla="*/ 795713 h 7007051"/>
            <a:gd name="connsiteX7" fmla="*/ 1632323 w 4639719"/>
            <a:gd name="connsiteY7" fmla="*/ 960913 h 7007051"/>
            <a:gd name="connsiteX8" fmla="*/ 1555131 w 4639719"/>
            <a:gd name="connsiteY8" fmla="*/ 1525409 h 7007051"/>
            <a:gd name="connsiteX9" fmla="*/ 1026665 w 4639719"/>
            <a:gd name="connsiteY9" fmla="*/ 2014444 h 7007051"/>
            <a:gd name="connsiteX10" fmla="*/ 1060681 w 4639719"/>
            <a:gd name="connsiteY10" fmla="*/ 2629783 h 7007051"/>
            <a:gd name="connsiteX11" fmla="*/ 1205316 w 4639719"/>
            <a:gd name="connsiteY11" fmla="*/ 2847314 h 7007051"/>
            <a:gd name="connsiteX12" fmla="*/ 1341625 w 4639719"/>
            <a:gd name="connsiteY12" fmla="*/ 2961266 h 7007051"/>
            <a:gd name="connsiteX13" fmla="*/ 1496066 w 4639719"/>
            <a:gd name="connsiteY13" fmla="*/ 3027600 h 7007051"/>
            <a:gd name="connsiteX14" fmla="*/ 1659677 w 4639719"/>
            <a:gd name="connsiteY14" fmla="*/ 3056146 h 7007051"/>
            <a:gd name="connsiteX15" fmla="*/ 1858486 w 4639719"/>
            <a:gd name="connsiteY15" fmla="*/ 3154588 h 7007051"/>
            <a:gd name="connsiteX16" fmla="*/ 2351038 w 4639719"/>
            <a:gd name="connsiteY16" fmla="*/ 3092904 h 7007051"/>
            <a:gd name="connsiteX17" fmla="*/ 2707894 w 4639719"/>
            <a:gd name="connsiteY17" fmla="*/ 2937317 h 7007051"/>
            <a:gd name="connsiteX18" fmla="*/ 2781363 w 4639719"/>
            <a:gd name="connsiteY18" fmla="*/ 3120361 h 7007051"/>
            <a:gd name="connsiteX19" fmla="*/ 2550152 w 4639719"/>
            <a:gd name="connsiteY19" fmla="*/ 3369679 h 7007051"/>
            <a:gd name="connsiteX20" fmla="*/ 2872045 w 4639719"/>
            <a:gd name="connsiteY20" fmla="*/ 3481342 h 7007051"/>
            <a:gd name="connsiteX21" fmla="*/ 3356020 w 4639719"/>
            <a:gd name="connsiteY21" fmla="*/ 3741583 h 7007051"/>
            <a:gd name="connsiteX22" fmla="*/ 3383911 w 4639719"/>
            <a:gd name="connsiteY22" fmla="*/ 4018854 h 7007051"/>
            <a:gd name="connsiteX23" fmla="*/ 3611651 w 4639719"/>
            <a:gd name="connsiteY23" fmla="*/ 4189085 h 7007051"/>
            <a:gd name="connsiteX24" fmla="*/ 3562243 w 4639719"/>
            <a:gd name="connsiteY24" fmla="*/ 4462626 h 7007051"/>
            <a:gd name="connsiteX25" fmla="*/ 3467805 w 4639719"/>
            <a:gd name="connsiteY25" fmla="*/ 4661583 h 7007051"/>
            <a:gd name="connsiteX26" fmla="*/ 3668060 w 4639719"/>
            <a:gd name="connsiteY26" fmla="*/ 4707646 h 7007051"/>
            <a:gd name="connsiteX27" fmla="*/ 3745746 w 4639719"/>
            <a:gd name="connsiteY27" fmla="*/ 4741627 h 7007051"/>
            <a:gd name="connsiteX28" fmla="*/ 3719012 w 4639719"/>
            <a:gd name="connsiteY28" fmla="*/ 5046272 h 7007051"/>
            <a:gd name="connsiteX29" fmla="*/ 4083088 w 4639719"/>
            <a:gd name="connsiteY29" fmla="*/ 5180238 h 7007051"/>
            <a:gd name="connsiteX30" fmla="*/ 4117263 w 4639719"/>
            <a:gd name="connsiteY30" fmla="*/ 5383001 h 7007051"/>
            <a:gd name="connsiteX31" fmla="*/ 4312130 w 4639719"/>
            <a:gd name="connsiteY31" fmla="*/ 5401041 h 7007051"/>
            <a:gd name="connsiteX32" fmla="*/ 4303586 w 4639719"/>
            <a:gd name="connsiteY32" fmla="*/ 5592777 h 7007051"/>
            <a:gd name="connsiteX33" fmla="*/ 4511503 w 4639719"/>
            <a:gd name="connsiteY33" fmla="*/ 5532287 h 7007051"/>
            <a:gd name="connsiteX34" fmla="*/ 4516414 w 4639719"/>
            <a:gd name="connsiteY34" fmla="*/ 5753106 h 7007051"/>
            <a:gd name="connsiteX35" fmla="*/ 4305076 w 4639719"/>
            <a:gd name="connsiteY35" fmla="*/ 5803898 h 7007051"/>
            <a:gd name="connsiteX36" fmla="*/ 3861533 w 4639719"/>
            <a:gd name="connsiteY36" fmla="*/ 6384094 h 7007051"/>
            <a:gd name="connsiteX37" fmla="*/ 4454205 w 4639719"/>
            <a:gd name="connsiteY37" fmla="*/ 7007051 h 7007051"/>
            <a:gd name="connsiteX38" fmla="*/ 12900 w 4639719"/>
            <a:gd name="connsiteY38" fmla="*/ 6992686 h 7007051"/>
            <a:gd name="connsiteX0" fmla="*/ 12900 w 4639719"/>
            <a:gd name="connsiteY0" fmla="*/ 6992686 h 7007051"/>
            <a:gd name="connsiteX1" fmla="*/ 12900 w 4639719"/>
            <a:gd name="connsiteY1" fmla="*/ 2611187 h 7007051"/>
            <a:gd name="connsiteX2" fmla="*/ 4000 w 4639719"/>
            <a:gd name="connsiteY2" fmla="*/ 1239764 h 7007051"/>
            <a:gd name="connsiteX3" fmla="*/ 4000 w 4639719"/>
            <a:gd name="connsiteY3" fmla="*/ 17389 h 7007051"/>
            <a:gd name="connsiteX4" fmla="*/ 1632181 w 4639719"/>
            <a:gd name="connsiteY4" fmla="*/ 0 h 7007051"/>
            <a:gd name="connsiteX5" fmla="*/ 1644235 w 4639719"/>
            <a:gd name="connsiteY5" fmla="*/ 654878 h 7007051"/>
            <a:gd name="connsiteX6" fmla="*/ 1721297 w 4639719"/>
            <a:gd name="connsiteY6" fmla="*/ 795713 h 7007051"/>
            <a:gd name="connsiteX7" fmla="*/ 1632323 w 4639719"/>
            <a:gd name="connsiteY7" fmla="*/ 960913 h 7007051"/>
            <a:gd name="connsiteX8" fmla="*/ 1555131 w 4639719"/>
            <a:gd name="connsiteY8" fmla="*/ 1525409 h 7007051"/>
            <a:gd name="connsiteX9" fmla="*/ 1026665 w 4639719"/>
            <a:gd name="connsiteY9" fmla="*/ 2014444 h 7007051"/>
            <a:gd name="connsiteX10" fmla="*/ 1060681 w 4639719"/>
            <a:gd name="connsiteY10" fmla="*/ 2629783 h 7007051"/>
            <a:gd name="connsiteX11" fmla="*/ 1205316 w 4639719"/>
            <a:gd name="connsiteY11" fmla="*/ 2847314 h 7007051"/>
            <a:gd name="connsiteX12" fmla="*/ 1341625 w 4639719"/>
            <a:gd name="connsiteY12" fmla="*/ 2961266 h 7007051"/>
            <a:gd name="connsiteX13" fmla="*/ 1496066 w 4639719"/>
            <a:gd name="connsiteY13" fmla="*/ 3027600 h 7007051"/>
            <a:gd name="connsiteX14" fmla="*/ 1659677 w 4639719"/>
            <a:gd name="connsiteY14" fmla="*/ 3056146 h 7007051"/>
            <a:gd name="connsiteX15" fmla="*/ 1858486 w 4639719"/>
            <a:gd name="connsiteY15" fmla="*/ 3154588 h 7007051"/>
            <a:gd name="connsiteX16" fmla="*/ 2351038 w 4639719"/>
            <a:gd name="connsiteY16" fmla="*/ 3092904 h 7007051"/>
            <a:gd name="connsiteX17" fmla="*/ 2707894 w 4639719"/>
            <a:gd name="connsiteY17" fmla="*/ 2937317 h 7007051"/>
            <a:gd name="connsiteX18" fmla="*/ 2823346 w 4639719"/>
            <a:gd name="connsiteY18" fmla="*/ 3111209 h 7007051"/>
            <a:gd name="connsiteX19" fmla="*/ 2550152 w 4639719"/>
            <a:gd name="connsiteY19" fmla="*/ 3369679 h 7007051"/>
            <a:gd name="connsiteX20" fmla="*/ 2872045 w 4639719"/>
            <a:gd name="connsiteY20" fmla="*/ 3481342 h 7007051"/>
            <a:gd name="connsiteX21" fmla="*/ 3356020 w 4639719"/>
            <a:gd name="connsiteY21" fmla="*/ 3741583 h 7007051"/>
            <a:gd name="connsiteX22" fmla="*/ 3383911 w 4639719"/>
            <a:gd name="connsiteY22" fmla="*/ 4018854 h 7007051"/>
            <a:gd name="connsiteX23" fmla="*/ 3611651 w 4639719"/>
            <a:gd name="connsiteY23" fmla="*/ 4189085 h 7007051"/>
            <a:gd name="connsiteX24" fmla="*/ 3562243 w 4639719"/>
            <a:gd name="connsiteY24" fmla="*/ 4462626 h 7007051"/>
            <a:gd name="connsiteX25" fmla="*/ 3467805 w 4639719"/>
            <a:gd name="connsiteY25" fmla="*/ 4661583 h 7007051"/>
            <a:gd name="connsiteX26" fmla="*/ 3668060 w 4639719"/>
            <a:gd name="connsiteY26" fmla="*/ 4707646 h 7007051"/>
            <a:gd name="connsiteX27" fmla="*/ 3745746 w 4639719"/>
            <a:gd name="connsiteY27" fmla="*/ 4741627 h 7007051"/>
            <a:gd name="connsiteX28" fmla="*/ 3719012 w 4639719"/>
            <a:gd name="connsiteY28" fmla="*/ 5046272 h 7007051"/>
            <a:gd name="connsiteX29" fmla="*/ 4083088 w 4639719"/>
            <a:gd name="connsiteY29" fmla="*/ 5180238 h 7007051"/>
            <a:gd name="connsiteX30" fmla="*/ 4117263 w 4639719"/>
            <a:gd name="connsiteY30" fmla="*/ 5383001 h 7007051"/>
            <a:gd name="connsiteX31" fmla="*/ 4312130 w 4639719"/>
            <a:gd name="connsiteY31" fmla="*/ 5401041 h 7007051"/>
            <a:gd name="connsiteX32" fmla="*/ 4303586 w 4639719"/>
            <a:gd name="connsiteY32" fmla="*/ 5592777 h 7007051"/>
            <a:gd name="connsiteX33" fmla="*/ 4511503 w 4639719"/>
            <a:gd name="connsiteY33" fmla="*/ 5532287 h 7007051"/>
            <a:gd name="connsiteX34" fmla="*/ 4516414 w 4639719"/>
            <a:gd name="connsiteY34" fmla="*/ 5753106 h 7007051"/>
            <a:gd name="connsiteX35" fmla="*/ 4305076 w 4639719"/>
            <a:gd name="connsiteY35" fmla="*/ 5803898 h 7007051"/>
            <a:gd name="connsiteX36" fmla="*/ 3861533 w 4639719"/>
            <a:gd name="connsiteY36" fmla="*/ 6384094 h 7007051"/>
            <a:gd name="connsiteX37" fmla="*/ 4454205 w 4639719"/>
            <a:gd name="connsiteY37" fmla="*/ 7007051 h 7007051"/>
            <a:gd name="connsiteX38" fmla="*/ 12900 w 4639719"/>
            <a:gd name="connsiteY38" fmla="*/ 6992686 h 7007051"/>
            <a:gd name="connsiteX0" fmla="*/ 12900 w 4639719"/>
            <a:gd name="connsiteY0" fmla="*/ 6992686 h 7007051"/>
            <a:gd name="connsiteX1" fmla="*/ 12900 w 4639719"/>
            <a:gd name="connsiteY1" fmla="*/ 2611187 h 7007051"/>
            <a:gd name="connsiteX2" fmla="*/ 4000 w 4639719"/>
            <a:gd name="connsiteY2" fmla="*/ 1239764 h 7007051"/>
            <a:gd name="connsiteX3" fmla="*/ 4000 w 4639719"/>
            <a:gd name="connsiteY3" fmla="*/ 17389 h 7007051"/>
            <a:gd name="connsiteX4" fmla="*/ 1632181 w 4639719"/>
            <a:gd name="connsiteY4" fmla="*/ 0 h 7007051"/>
            <a:gd name="connsiteX5" fmla="*/ 1644235 w 4639719"/>
            <a:gd name="connsiteY5" fmla="*/ 654878 h 7007051"/>
            <a:gd name="connsiteX6" fmla="*/ 1721297 w 4639719"/>
            <a:gd name="connsiteY6" fmla="*/ 795713 h 7007051"/>
            <a:gd name="connsiteX7" fmla="*/ 1632323 w 4639719"/>
            <a:gd name="connsiteY7" fmla="*/ 960913 h 7007051"/>
            <a:gd name="connsiteX8" fmla="*/ 1555131 w 4639719"/>
            <a:gd name="connsiteY8" fmla="*/ 1525409 h 7007051"/>
            <a:gd name="connsiteX9" fmla="*/ 1026665 w 4639719"/>
            <a:gd name="connsiteY9" fmla="*/ 2014444 h 7007051"/>
            <a:gd name="connsiteX10" fmla="*/ 1060681 w 4639719"/>
            <a:gd name="connsiteY10" fmla="*/ 2629783 h 7007051"/>
            <a:gd name="connsiteX11" fmla="*/ 1205316 w 4639719"/>
            <a:gd name="connsiteY11" fmla="*/ 2847314 h 7007051"/>
            <a:gd name="connsiteX12" fmla="*/ 1341625 w 4639719"/>
            <a:gd name="connsiteY12" fmla="*/ 2961266 h 7007051"/>
            <a:gd name="connsiteX13" fmla="*/ 1496066 w 4639719"/>
            <a:gd name="connsiteY13" fmla="*/ 3027600 h 7007051"/>
            <a:gd name="connsiteX14" fmla="*/ 1659677 w 4639719"/>
            <a:gd name="connsiteY14" fmla="*/ 3056146 h 7007051"/>
            <a:gd name="connsiteX15" fmla="*/ 1858486 w 4639719"/>
            <a:gd name="connsiteY15" fmla="*/ 3154588 h 7007051"/>
            <a:gd name="connsiteX16" fmla="*/ 2351038 w 4639719"/>
            <a:gd name="connsiteY16" fmla="*/ 3092904 h 7007051"/>
            <a:gd name="connsiteX17" fmla="*/ 2665910 w 4639719"/>
            <a:gd name="connsiteY17" fmla="*/ 2983079 h 7007051"/>
            <a:gd name="connsiteX18" fmla="*/ 2823346 w 4639719"/>
            <a:gd name="connsiteY18" fmla="*/ 3111209 h 7007051"/>
            <a:gd name="connsiteX19" fmla="*/ 2550152 w 4639719"/>
            <a:gd name="connsiteY19" fmla="*/ 3369679 h 7007051"/>
            <a:gd name="connsiteX20" fmla="*/ 2872045 w 4639719"/>
            <a:gd name="connsiteY20" fmla="*/ 3481342 h 7007051"/>
            <a:gd name="connsiteX21" fmla="*/ 3356020 w 4639719"/>
            <a:gd name="connsiteY21" fmla="*/ 3741583 h 7007051"/>
            <a:gd name="connsiteX22" fmla="*/ 3383911 w 4639719"/>
            <a:gd name="connsiteY22" fmla="*/ 4018854 h 7007051"/>
            <a:gd name="connsiteX23" fmla="*/ 3611651 w 4639719"/>
            <a:gd name="connsiteY23" fmla="*/ 4189085 h 7007051"/>
            <a:gd name="connsiteX24" fmla="*/ 3562243 w 4639719"/>
            <a:gd name="connsiteY24" fmla="*/ 4462626 h 7007051"/>
            <a:gd name="connsiteX25" fmla="*/ 3467805 w 4639719"/>
            <a:gd name="connsiteY25" fmla="*/ 4661583 h 7007051"/>
            <a:gd name="connsiteX26" fmla="*/ 3668060 w 4639719"/>
            <a:gd name="connsiteY26" fmla="*/ 4707646 h 7007051"/>
            <a:gd name="connsiteX27" fmla="*/ 3745746 w 4639719"/>
            <a:gd name="connsiteY27" fmla="*/ 4741627 h 7007051"/>
            <a:gd name="connsiteX28" fmla="*/ 3719012 w 4639719"/>
            <a:gd name="connsiteY28" fmla="*/ 5046272 h 7007051"/>
            <a:gd name="connsiteX29" fmla="*/ 4083088 w 4639719"/>
            <a:gd name="connsiteY29" fmla="*/ 5180238 h 7007051"/>
            <a:gd name="connsiteX30" fmla="*/ 4117263 w 4639719"/>
            <a:gd name="connsiteY30" fmla="*/ 5383001 h 7007051"/>
            <a:gd name="connsiteX31" fmla="*/ 4312130 w 4639719"/>
            <a:gd name="connsiteY31" fmla="*/ 5401041 h 7007051"/>
            <a:gd name="connsiteX32" fmla="*/ 4303586 w 4639719"/>
            <a:gd name="connsiteY32" fmla="*/ 5592777 h 7007051"/>
            <a:gd name="connsiteX33" fmla="*/ 4511503 w 4639719"/>
            <a:gd name="connsiteY33" fmla="*/ 5532287 h 7007051"/>
            <a:gd name="connsiteX34" fmla="*/ 4516414 w 4639719"/>
            <a:gd name="connsiteY34" fmla="*/ 5753106 h 7007051"/>
            <a:gd name="connsiteX35" fmla="*/ 4305076 w 4639719"/>
            <a:gd name="connsiteY35" fmla="*/ 5803898 h 7007051"/>
            <a:gd name="connsiteX36" fmla="*/ 3861533 w 4639719"/>
            <a:gd name="connsiteY36" fmla="*/ 6384094 h 7007051"/>
            <a:gd name="connsiteX37" fmla="*/ 4454205 w 4639719"/>
            <a:gd name="connsiteY37" fmla="*/ 7007051 h 7007051"/>
            <a:gd name="connsiteX38" fmla="*/ 12900 w 4639719"/>
            <a:gd name="connsiteY38" fmla="*/ 6992686 h 7007051"/>
            <a:gd name="connsiteX0" fmla="*/ 12900 w 4639719"/>
            <a:gd name="connsiteY0" fmla="*/ 6992686 h 7007051"/>
            <a:gd name="connsiteX1" fmla="*/ 12900 w 4639719"/>
            <a:gd name="connsiteY1" fmla="*/ 2611187 h 7007051"/>
            <a:gd name="connsiteX2" fmla="*/ 4000 w 4639719"/>
            <a:gd name="connsiteY2" fmla="*/ 1239764 h 7007051"/>
            <a:gd name="connsiteX3" fmla="*/ 4000 w 4639719"/>
            <a:gd name="connsiteY3" fmla="*/ 17389 h 7007051"/>
            <a:gd name="connsiteX4" fmla="*/ 1632181 w 4639719"/>
            <a:gd name="connsiteY4" fmla="*/ 0 h 7007051"/>
            <a:gd name="connsiteX5" fmla="*/ 1644235 w 4639719"/>
            <a:gd name="connsiteY5" fmla="*/ 654878 h 7007051"/>
            <a:gd name="connsiteX6" fmla="*/ 1721297 w 4639719"/>
            <a:gd name="connsiteY6" fmla="*/ 795713 h 7007051"/>
            <a:gd name="connsiteX7" fmla="*/ 1632323 w 4639719"/>
            <a:gd name="connsiteY7" fmla="*/ 960913 h 7007051"/>
            <a:gd name="connsiteX8" fmla="*/ 1555131 w 4639719"/>
            <a:gd name="connsiteY8" fmla="*/ 1525409 h 7007051"/>
            <a:gd name="connsiteX9" fmla="*/ 1026665 w 4639719"/>
            <a:gd name="connsiteY9" fmla="*/ 2014444 h 7007051"/>
            <a:gd name="connsiteX10" fmla="*/ 1060681 w 4639719"/>
            <a:gd name="connsiteY10" fmla="*/ 2629783 h 7007051"/>
            <a:gd name="connsiteX11" fmla="*/ 1205316 w 4639719"/>
            <a:gd name="connsiteY11" fmla="*/ 2847314 h 7007051"/>
            <a:gd name="connsiteX12" fmla="*/ 1341625 w 4639719"/>
            <a:gd name="connsiteY12" fmla="*/ 2961266 h 7007051"/>
            <a:gd name="connsiteX13" fmla="*/ 1496066 w 4639719"/>
            <a:gd name="connsiteY13" fmla="*/ 3027600 h 7007051"/>
            <a:gd name="connsiteX14" fmla="*/ 1659677 w 4639719"/>
            <a:gd name="connsiteY14" fmla="*/ 3056146 h 7007051"/>
            <a:gd name="connsiteX15" fmla="*/ 1858486 w 4639719"/>
            <a:gd name="connsiteY15" fmla="*/ 3154588 h 7007051"/>
            <a:gd name="connsiteX16" fmla="*/ 2351038 w 4639719"/>
            <a:gd name="connsiteY16" fmla="*/ 3092904 h 7007051"/>
            <a:gd name="connsiteX17" fmla="*/ 2665910 w 4639719"/>
            <a:gd name="connsiteY17" fmla="*/ 2983079 h 7007051"/>
            <a:gd name="connsiteX18" fmla="*/ 2760372 w 4639719"/>
            <a:gd name="connsiteY18" fmla="*/ 3175274 h 7007051"/>
            <a:gd name="connsiteX19" fmla="*/ 2550152 w 4639719"/>
            <a:gd name="connsiteY19" fmla="*/ 3369679 h 7007051"/>
            <a:gd name="connsiteX20" fmla="*/ 2872045 w 4639719"/>
            <a:gd name="connsiteY20" fmla="*/ 3481342 h 7007051"/>
            <a:gd name="connsiteX21" fmla="*/ 3356020 w 4639719"/>
            <a:gd name="connsiteY21" fmla="*/ 3741583 h 7007051"/>
            <a:gd name="connsiteX22" fmla="*/ 3383911 w 4639719"/>
            <a:gd name="connsiteY22" fmla="*/ 4018854 h 7007051"/>
            <a:gd name="connsiteX23" fmla="*/ 3611651 w 4639719"/>
            <a:gd name="connsiteY23" fmla="*/ 4189085 h 7007051"/>
            <a:gd name="connsiteX24" fmla="*/ 3562243 w 4639719"/>
            <a:gd name="connsiteY24" fmla="*/ 4462626 h 7007051"/>
            <a:gd name="connsiteX25" fmla="*/ 3467805 w 4639719"/>
            <a:gd name="connsiteY25" fmla="*/ 4661583 h 7007051"/>
            <a:gd name="connsiteX26" fmla="*/ 3668060 w 4639719"/>
            <a:gd name="connsiteY26" fmla="*/ 4707646 h 7007051"/>
            <a:gd name="connsiteX27" fmla="*/ 3745746 w 4639719"/>
            <a:gd name="connsiteY27" fmla="*/ 4741627 h 7007051"/>
            <a:gd name="connsiteX28" fmla="*/ 3719012 w 4639719"/>
            <a:gd name="connsiteY28" fmla="*/ 5046272 h 7007051"/>
            <a:gd name="connsiteX29" fmla="*/ 4083088 w 4639719"/>
            <a:gd name="connsiteY29" fmla="*/ 5180238 h 7007051"/>
            <a:gd name="connsiteX30" fmla="*/ 4117263 w 4639719"/>
            <a:gd name="connsiteY30" fmla="*/ 5383001 h 7007051"/>
            <a:gd name="connsiteX31" fmla="*/ 4312130 w 4639719"/>
            <a:gd name="connsiteY31" fmla="*/ 5401041 h 7007051"/>
            <a:gd name="connsiteX32" fmla="*/ 4303586 w 4639719"/>
            <a:gd name="connsiteY32" fmla="*/ 5592777 h 7007051"/>
            <a:gd name="connsiteX33" fmla="*/ 4511503 w 4639719"/>
            <a:gd name="connsiteY33" fmla="*/ 5532287 h 7007051"/>
            <a:gd name="connsiteX34" fmla="*/ 4516414 w 4639719"/>
            <a:gd name="connsiteY34" fmla="*/ 5753106 h 7007051"/>
            <a:gd name="connsiteX35" fmla="*/ 4305076 w 4639719"/>
            <a:gd name="connsiteY35" fmla="*/ 5803898 h 7007051"/>
            <a:gd name="connsiteX36" fmla="*/ 3861533 w 4639719"/>
            <a:gd name="connsiteY36" fmla="*/ 6384094 h 7007051"/>
            <a:gd name="connsiteX37" fmla="*/ 4454205 w 4639719"/>
            <a:gd name="connsiteY37" fmla="*/ 7007051 h 7007051"/>
            <a:gd name="connsiteX38" fmla="*/ 12900 w 4639719"/>
            <a:gd name="connsiteY38" fmla="*/ 6992686 h 7007051"/>
            <a:gd name="connsiteX0" fmla="*/ 12900 w 4639719"/>
            <a:gd name="connsiteY0" fmla="*/ 6992686 h 7007051"/>
            <a:gd name="connsiteX1" fmla="*/ 12900 w 4639719"/>
            <a:gd name="connsiteY1" fmla="*/ 2611187 h 7007051"/>
            <a:gd name="connsiteX2" fmla="*/ 4000 w 4639719"/>
            <a:gd name="connsiteY2" fmla="*/ 1239764 h 7007051"/>
            <a:gd name="connsiteX3" fmla="*/ 4000 w 4639719"/>
            <a:gd name="connsiteY3" fmla="*/ 17389 h 7007051"/>
            <a:gd name="connsiteX4" fmla="*/ 1632181 w 4639719"/>
            <a:gd name="connsiteY4" fmla="*/ 0 h 7007051"/>
            <a:gd name="connsiteX5" fmla="*/ 1644235 w 4639719"/>
            <a:gd name="connsiteY5" fmla="*/ 654878 h 7007051"/>
            <a:gd name="connsiteX6" fmla="*/ 1721297 w 4639719"/>
            <a:gd name="connsiteY6" fmla="*/ 795713 h 7007051"/>
            <a:gd name="connsiteX7" fmla="*/ 1632323 w 4639719"/>
            <a:gd name="connsiteY7" fmla="*/ 960913 h 7007051"/>
            <a:gd name="connsiteX8" fmla="*/ 1555131 w 4639719"/>
            <a:gd name="connsiteY8" fmla="*/ 1525409 h 7007051"/>
            <a:gd name="connsiteX9" fmla="*/ 1026665 w 4639719"/>
            <a:gd name="connsiteY9" fmla="*/ 2014444 h 7007051"/>
            <a:gd name="connsiteX10" fmla="*/ 1060681 w 4639719"/>
            <a:gd name="connsiteY10" fmla="*/ 2629783 h 7007051"/>
            <a:gd name="connsiteX11" fmla="*/ 1205316 w 4639719"/>
            <a:gd name="connsiteY11" fmla="*/ 2847314 h 7007051"/>
            <a:gd name="connsiteX12" fmla="*/ 1341625 w 4639719"/>
            <a:gd name="connsiteY12" fmla="*/ 2961266 h 7007051"/>
            <a:gd name="connsiteX13" fmla="*/ 1496066 w 4639719"/>
            <a:gd name="connsiteY13" fmla="*/ 3027600 h 7007051"/>
            <a:gd name="connsiteX14" fmla="*/ 1659677 w 4639719"/>
            <a:gd name="connsiteY14" fmla="*/ 3056146 h 7007051"/>
            <a:gd name="connsiteX15" fmla="*/ 1858486 w 4639719"/>
            <a:gd name="connsiteY15" fmla="*/ 3154588 h 7007051"/>
            <a:gd name="connsiteX16" fmla="*/ 2351038 w 4639719"/>
            <a:gd name="connsiteY16" fmla="*/ 3092904 h 7007051"/>
            <a:gd name="connsiteX17" fmla="*/ 2665910 w 4639719"/>
            <a:gd name="connsiteY17" fmla="*/ 2983079 h 7007051"/>
            <a:gd name="connsiteX18" fmla="*/ 2760372 w 4639719"/>
            <a:gd name="connsiteY18" fmla="*/ 3175274 h 7007051"/>
            <a:gd name="connsiteX19" fmla="*/ 2550152 w 4639719"/>
            <a:gd name="connsiteY19" fmla="*/ 3369679 h 7007051"/>
            <a:gd name="connsiteX20" fmla="*/ 2893037 w 4639719"/>
            <a:gd name="connsiteY20" fmla="*/ 3554559 h 7007051"/>
            <a:gd name="connsiteX21" fmla="*/ 3356020 w 4639719"/>
            <a:gd name="connsiteY21" fmla="*/ 3741583 h 7007051"/>
            <a:gd name="connsiteX22" fmla="*/ 3383911 w 4639719"/>
            <a:gd name="connsiteY22" fmla="*/ 4018854 h 7007051"/>
            <a:gd name="connsiteX23" fmla="*/ 3611651 w 4639719"/>
            <a:gd name="connsiteY23" fmla="*/ 4189085 h 7007051"/>
            <a:gd name="connsiteX24" fmla="*/ 3562243 w 4639719"/>
            <a:gd name="connsiteY24" fmla="*/ 4462626 h 7007051"/>
            <a:gd name="connsiteX25" fmla="*/ 3467805 w 4639719"/>
            <a:gd name="connsiteY25" fmla="*/ 4661583 h 7007051"/>
            <a:gd name="connsiteX26" fmla="*/ 3668060 w 4639719"/>
            <a:gd name="connsiteY26" fmla="*/ 4707646 h 7007051"/>
            <a:gd name="connsiteX27" fmla="*/ 3745746 w 4639719"/>
            <a:gd name="connsiteY27" fmla="*/ 4741627 h 7007051"/>
            <a:gd name="connsiteX28" fmla="*/ 3719012 w 4639719"/>
            <a:gd name="connsiteY28" fmla="*/ 5046272 h 7007051"/>
            <a:gd name="connsiteX29" fmla="*/ 4083088 w 4639719"/>
            <a:gd name="connsiteY29" fmla="*/ 5180238 h 7007051"/>
            <a:gd name="connsiteX30" fmla="*/ 4117263 w 4639719"/>
            <a:gd name="connsiteY30" fmla="*/ 5383001 h 7007051"/>
            <a:gd name="connsiteX31" fmla="*/ 4312130 w 4639719"/>
            <a:gd name="connsiteY31" fmla="*/ 5401041 h 7007051"/>
            <a:gd name="connsiteX32" fmla="*/ 4303586 w 4639719"/>
            <a:gd name="connsiteY32" fmla="*/ 5592777 h 7007051"/>
            <a:gd name="connsiteX33" fmla="*/ 4511503 w 4639719"/>
            <a:gd name="connsiteY33" fmla="*/ 5532287 h 7007051"/>
            <a:gd name="connsiteX34" fmla="*/ 4516414 w 4639719"/>
            <a:gd name="connsiteY34" fmla="*/ 5753106 h 7007051"/>
            <a:gd name="connsiteX35" fmla="*/ 4305076 w 4639719"/>
            <a:gd name="connsiteY35" fmla="*/ 5803898 h 7007051"/>
            <a:gd name="connsiteX36" fmla="*/ 3861533 w 4639719"/>
            <a:gd name="connsiteY36" fmla="*/ 6384094 h 7007051"/>
            <a:gd name="connsiteX37" fmla="*/ 4454205 w 4639719"/>
            <a:gd name="connsiteY37" fmla="*/ 7007051 h 7007051"/>
            <a:gd name="connsiteX38" fmla="*/ 12900 w 4639719"/>
            <a:gd name="connsiteY38" fmla="*/ 6992686 h 7007051"/>
            <a:gd name="connsiteX0" fmla="*/ 12900 w 4639719"/>
            <a:gd name="connsiteY0" fmla="*/ 6992686 h 7007051"/>
            <a:gd name="connsiteX1" fmla="*/ 12900 w 4639719"/>
            <a:gd name="connsiteY1" fmla="*/ 2611187 h 7007051"/>
            <a:gd name="connsiteX2" fmla="*/ 4000 w 4639719"/>
            <a:gd name="connsiteY2" fmla="*/ 1239764 h 7007051"/>
            <a:gd name="connsiteX3" fmla="*/ 4000 w 4639719"/>
            <a:gd name="connsiteY3" fmla="*/ 17389 h 7007051"/>
            <a:gd name="connsiteX4" fmla="*/ 1632181 w 4639719"/>
            <a:gd name="connsiteY4" fmla="*/ 0 h 7007051"/>
            <a:gd name="connsiteX5" fmla="*/ 1644235 w 4639719"/>
            <a:gd name="connsiteY5" fmla="*/ 654878 h 7007051"/>
            <a:gd name="connsiteX6" fmla="*/ 1721297 w 4639719"/>
            <a:gd name="connsiteY6" fmla="*/ 795713 h 7007051"/>
            <a:gd name="connsiteX7" fmla="*/ 1632323 w 4639719"/>
            <a:gd name="connsiteY7" fmla="*/ 960913 h 7007051"/>
            <a:gd name="connsiteX8" fmla="*/ 1555131 w 4639719"/>
            <a:gd name="connsiteY8" fmla="*/ 1525409 h 7007051"/>
            <a:gd name="connsiteX9" fmla="*/ 984682 w 4639719"/>
            <a:gd name="connsiteY9" fmla="*/ 2014444 h 7007051"/>
            <a:gd name="connsiteX10" fmla="*/ 1060681 w 4639719"/>
            <a:gd name="connsiteY10" fmla="*/ 2629783 h 7007051"/>
            <a:gd name="connsiteX11" fmla="*/ 1205316 w 4639719"/>
            <a:gd name="connsiteY11" fmla="*/ 2847314 h 7007051"/>
            <a:gd name="connsiteX12" fmla="*/ 1341625 w 4639719"/>
            <a:gd name="connsiteY12" fmla="*/ 2961266 h 7007051"/>
            <a:gd name="connsiteX13" fmla="*/ 1496066 w 4639719"/>
            <a:gd name="connsiteY13" fmla="*/ 3027600 h 7007051"/>
            <a:gd name="connsiteX14" fmla="*/ 1659677 w 4639719"/>
            <a:gd name="connsiteY14" fmla="*/ 3056146 h 7007051"/>
            <a:gd name="connsiteX15" fmla="*/ 1858486 w 4639719"/>
            <a:gd name="connsiteY15" fmla="*/ 3154588 h 7007051"/>
            <a:gd name="connsiteX16" fmla="*/ 2351038 w 4639719"/>
            <a:gd name="connsiteY16" fmla="*/ 3092904 h 7007051"/>
            <a:gd name="connsiteX17" fmla="*/ 2665910 w 4639719"/>
            <a:gd name="connsiteY17" fmla="*/ 2983079 h 7007051"/>
            <a:gd name="connsiteX18" fmla="*/ 2760372 w 4639719"/>
            <a:gd name="connsiteY18" fmla="*/ 3175274 h 7007051"/>
            <a:gd name="connsiteX19" fmla="*/ 2550152 w 4639719"/>
            <a:gd name="connsiteY19" fmla="*/ 3369679 h 7007051"/>
            <a:gd name="connsiteX20" fmla="*/ 2893037 w 4639719"/>
            <a:gd name="connsiteY20" fmla="*/ 3554559 h 7007051"/>
            <a:gd name="connsiteX21" fmla="*/ 3356020 w 4639719"/>
            <a:gd name="connsiteY21" fmla="*/ 3741583 h 7007051"/>
            <a:gd name="connsiteX22" fmla="*/ 3383911 w 4639719"/>
            <a:gd name="connsiteY22" fmla="*/ 4018854 h 7007051"/>
            <a:gd name="connsiteX23" fmla="*/ 3611651 w 4639719"/>
            <a:gd name="connsiteY23" fmla="*/ 4189085 h 7007051"/>
            <a:gd name="connsiteX24" fmla="*/ 3562243 w 4639719"/>
            <a:gd name="connsiteY24" fmla="*/ 4462626 h 7007051"/>
            <a:gd name="connsiteX25" fmla="*/ 3467805 w 4639719"/>
            <a:gd name="connsiteY25" fmla="*/ 4661583 h 7007051"/>
            <a:gd name="connsiteX26" fmla="*/ 3668060 w 4639719"/>
            <a:gd name="connsiteY26" fmla="*/ 4707646 h 7007051"/>
            <a:gd name="connsiteX27" fmla="*/ 3745746 w 4639719"/>
            <a:gd name="connsiteY27" fmla="*/ 4741627 h 7007051"/>
            <a:gd name="connsiteX28" fmla="*/ 3719012 w 4639719"/>
            <a:gd name="connsiteY28" fmla="*/ 5046272 h 7007051"/>
            <a:gd name="connsiteX29" fmla="*/ 4083088 w 4639719"/>
            <a:gd name="connsiteY29" fmla="*/ 5180238 h 7007051"/>
            <a:gd name="connsiteX30" fmla="*/ 4117263 w 4639719"/>
            <a:gd name="connsiteY30" fmla="*/ 5383001 h 7007051"/>
            <a:gd name="connsiteX31" fmla="*/ 4312130 w 4639719"/>
            <a:gd name="connsiteY31" fmla="*/ 5401041 h 7007051"/>
            <a:gd name="connsiteX32" fmla="*/ 4303586 w 4639719"/>
            <a:gd name="connsiteY32" fmla="*/ 5592777 h 7007051"/>
            <a:gd name="connsiteX33" fmla="*/ 4511503 w 4639719"/>
            <a:gd name="connsiteY33" fmla="*/ 5532287 h 7007051"/>
            <a:gd name="connsiteX34" fmla="*/ 4516414 w 4639719"/>
            <a:gd name="connsiteY34" fmla="*/ 5753106 h 7007051"/>
            <a:gd name="connsiteX35" fmla="*/ 4305076 w 4639719"/>
            <a:gd name="connsiteY35" fmla="*/ 5803898 h 7007051"/>
            <a:gd name="connsiteX36" fmla="*/ 3861533 w 4639719"/>
            <a:gd name="connsiteY36" fmla="*/ 6384094 h 7007051"/>
            <a:gd name="connsiteX37" fmla="*/ 4454205 w 4639719"/>
            <a:gd name="connsiteY37" fmla="*/ 7007051 h 7007051"/>
            <a:gd name="connsiteX38" fmla="*/ 12900 w 4639719"/>
            <a:gd name="connsiteY38" fmla="*/ 6992686 h 7007051"/>
            <a:gd name="connsiteX0" fmla="*/ 12900 w 4639719"/>
            <a:gd name="connsiteY0" fmla="*/ 6992686 h 7007051"/>
            <a:gd name="connsiteX1" fmla="*/ 12900 w 4639719"/>
            <a:gd name="connsiteY1" fmla="*/ 2611187 h 7007051"/>
            <a:gd name="connsiteX2" fmla="*/ 4000 w 4639719"/>
            <a:gd name="connsiteY2" fmla="*/ 1239764 h 7007051"/>
            <a:gd name="connsiteX3" fmla="*/ 4000 w 4639719"/>
            <a:gd name="connsiteY3" fmla="*/ 17389 h 7007051"/>
            <a:gd name="connsiteX4" fmla="*/ 1632181 w 4639719"/>
            <a:gd name="connsiteY4" fmla="*/ 0 h 7007051"/>
            <a:gd name="connsiteX5" fmla="*/ 1644235 w 4639719"/>
            <a:gd name="connsiteY5" fmla="*/ 654878 h 7007051"/>
            <a:gd name="connsiteX6" fmla="*/ 1721297 w 4639719"/>
            <a:gd name="connsiteY6" fmla="*/ 795713 h 7007051"/>
            <a:gd name="connsiteX7" fmla="*/ 1632323 w 4639719"/>
            <a:gd name="connsiteY7" fmla="*/ 960913 h 7007051"/>
            <a:gd name="connsiteX8" fmla="*/ 1555131 w 4639719"/>
            <a:gd name="connsiteY8" fmla="*/ 1525409 h 7007051"/>
            <a:gd name="connsiteX9" fmla="*/ 984682 w 4639719"/>
            <a:gd name="connsiteY9" fmla="*/ 2014444 h 7007051"/>
            <a:gd name="connsiteX10" fmla="*/ 1008203 w 4639719"/>
            <a:gd name="connsiteY10" fmla="*/ 2638935 h 7007051"/>
            <a:gd name="connsiteX11" fmla="*/ 1205316 w 4639719"/>
            <a:gd name="connsiteY11" fmla="*/ 2847314 h 7007051"/>
            <a:gd name="connsiteX12" fmla="*/ 1341625 w 4639719"/>
            <a:gd name="connsiteY12" fmla="*/ 2961266 h 7007051"/>
            <a:gd name="connsiteX13" fmla="*/ 1496066 w 4639719"/>
            <a:gd name="connsiteY13" fmla="*/ 3027600 h 7007051"/>
            <a:gd name="connsiteX14" fmla="*/ 1659677 w 4639719"/>
            <a:gd name="connsiteY14" fmla="*/ 3056146 h 7007051"/>
            <a:gd name="connsiteX15" fmla="*/ 1858486 w 4639719"/>
            <a:gd name="connsiteY15" fmla="*/ 3154588 h 7007051"/>
            <a:gd name="connsiteX16" fmla="*/ 2351038 w 4639719"/>
            <a:gd name="connsiteY16" fmla="*/ 3092904 h 7007051"/>
            <a:gd name="connsiteX17" fmla="*/ 2665910 w 4639719"/>
            <a:gd name="connsiteY17" fmla="*/ 2983079 h 7007051"/>
            <a:gd name="connsiteX18" fmla="*/ 2760372 w 4639719"/>
            <a:gd name="connsiteY18" fmla="*/ 3175274 h 7007051"/>
            <a:gd name="connsiteX19" fmla="*/ 2550152 w 4639719"/>
            <a:gd name="connsiteY19" fmla="*/ 3369679 h 7007051"/>
            <a:gd name="connsiteX20" fmla="*/ 2893037 w 4639719"/>
            <a:gd name="connsiteY20" fmla="*/ 3554559 h 7007051"/>
            <a:gd name="connsiteX21" fmla="*/ 3356020 w 4639719"/>
            <a:gd name="connsiteY21" fmla="*/ 3741583 h 7007051"/>
            <a:gd name="connsiteX22" fmla="*/ 3383911 w 4639719"/>
            <a:gd name="connsiteY22" fmla="*/ 4018854 h 7007051"/>
            <a:gd name="connsiteX23" fmla="*/ 3611651 w 4639719"/>
            <a:gd name="connsiteY23" fmla="*/ 4189085 h 7007051"/>
            <a:gd name="connsiteX24" fmla="*/ 3562243 w 4639719"/>
            <a:gd name="connsiteY24" fmla="*/ 4462626 h 7007051"/>
            <a:gd name="connsiteX25" fmla="*/ 3467805 w 4639719"/>
            <a:gd name="connsiteY25" fmla="*/ 4661583 h 7007051"/>
            <a:gd name="connsiteX26" fmla="*/ 3668060 w 4639719"/>
            <a:gd name="connsiteY26" fmla="*/ 4707646 h 7007051"/>
            <a:gd name="connsiteX27" fmla="*/ 3745746 w 4639719"/>
            <a:gd name="connsiteY27" fmla="*/ 4741627 h 7007051"/>
            <a:gd name="connsiteX28" fmla="*/ 3719012 w 4639719"/>
            <a:gd name="connsiteY28" fmla="*/ 5046272 h 7007051"/>
            <a:gd name="connsiteX29" fmla="*/ 4083088 w 4639719"/>
            <a:gd name="connsiteY29" fmla="*/ 5180238 h 7007051"/>
            <a:gd name="connsiteX30" fmla="*/ 4117263 w 4639719"/>
            <a:gd name="connsiteY30" fmla="*/ 5383001 h 7007051"/>
            <a:gd name="connsiteX31" fmla="*/ 4312130 w 4639719"/>
            <a:gd name="connsiteY31" fmla="*/ 5401041 h 7007051"/>
            <a:gd name="connsiteX32" fmla="*/ 4303586 w 4639719"/>
            <a:gd name="connsiteY32" fmla="*/ 5592777 h 7007051"/>
            <a:gd name="connsiteX33" fmla="*/ 4511503 w 4639719"/>
            <a:gd name="connsiteY33" fmla="*/ 5532287 h 7007051"/>
            <a:gd name="connsiteX34" fmla="*/ 4516414 w 4639719"/>
            <a:gd name="connsiteY34" fmla="*/ 5753106 h 7007051"/>
            <a:gd name="connsiteX35" fmla="*/ 4305076 w 4639719"/>
            <a:gd name="connsiteY35" fmla="*/ 5803898 h 7007051"/>
            <a:gd name="connsiteX36" fmla="*/ 3861533 w 4639719"/>
            <a:gd name="connsiteY36" fmla="*/ 6384094 h 7007051"/>
            <a:gd name="connsiteX37" fmla="*/ 4454205 w 4639719"/>
            <a:gd name="connsiteY37" fmla="*/ 7007051 h 7007051"/>
            <a:gd name="connsiteX38" fmla="*/ 12900 w 4639719"/>
            <a:gd name="connsiteY38" fmla="*/ 6992686 h 7007051"/>
            <a:gd name="connsiteX0" fmla="*/ 12900 w 4639719"/>
            <a:gd name="connsiteY0" fmla="*/ 6992686 h 7007051"/>
            <a:gd name="connsiteX1" fmla="*/ 12900 w 4639719"/>
            <a:gd name="connsiteY1" fmla="*/ 2611187 h 7007051"/>
            <a:gd name="connsiteX2" fmla="*/ 4000 w 4639719"/>
            <a:gd name="connsiteY2" fmla="*/ 1239764 h 7007051"/>
            <a:gd name="connsiteX3" fmla="*/ 4000 w 4639719"/>
            <a:gd name="connsiteY3" fmla="*/ 17389 h 7007051"/>
            <a:gd name="connsiteX4" fmla="*/ 1632181 w 4639719"/>
            <a:gd name="connsiteY4" fmla="*/ 0 h 7007051"/>
            <a:gd name="connsiteX5" fmla="*/ 1644235 w 4639719"/>
            <a:gd name="connsiteY5" fmla="*/ 654878 h 7007051"/>
            <a:gd name="connsiteX6" fmla="*/ 1721297 w 4639719"/>
            <a:gd name="connsiteY6" fmla="*/ 795713 h 7007051"/>
            <a:gd name="connsiteX7" fmla="*/ 1632323 w 4639719"/>
            <a:gd name="connsiteY7" fmla="*/ 960913 h 7007051"/>
            <a:gd name="connsiteX8" fmla="*/ 1555131 w 4639719"/>
            <a:gd name="connsiteY8" fmla="*/ 1525409 h 7007051"/>
            <a:gd name="connsiteX9" fmla="*/ 984682 w 4639719"/>
            <a:gd name="connsiteY9" fmla="*/ 2014444 h 7007051"/>
            <a:gd name="connsiteX10" fmla="*/ 976716 w 4639719"/>
            <a:gd name="connsiteY10" fmla="*/ 2666392 h 7007051"/>
            <a:gd name="connsiteX11" fmla="*/ 1205316 w 4639719"/>
            <a:gd name="connsiteY11" fmla="*/ 2847314 h 7007051"/>
            <a:gd name="connsiteX12" fmla="*/ 1341625 w 4639719"/>
            <a:gd name="connsiteY12" fmla="*/ 2961266 h 7007051"/>
            <a:gd name="connsiteX13" fmla="*/ 1496066 w 4639719"/>
            <a:gd name="connsiteY13" fmla="*/ 3027600 h 7007051"/>
            <a:gd name="connsiteX14" fmla="*/ 1659677 w 4639719"/>
            <a:gd name="connsiteY14" fmla="*/ 3056146 h 7007051"/>
            <a:gd name="connsiteX15" fmla="*/ 1858486 w 4639719"/>
            <a:gd name="connsiteY15" fmla="*/ 3154588 h 7007051"/>
            <a:gd name="connsiteX16" fmla="*/ 2351038 w 4639719"/>
            <a:gd name="connsiteY16" fmla="*/ 3092904 h 7007051"/>
            <a:gd name="connsiteX17" fmla="*/ 2665910 w 4639719"/>
            <a:gd name="connsiteY17" fmla="*/ 2983079 h 7007051"/>
            <a:gd name="connsiteX18" fmla="*/ 2760372 w 4639719"/>
            <a:gd name="connsiteY18" fmla="*/ 3175274 h 7007051"/>
            <a:gd name="connsiteX19" fmla="*/ 2550152 w 4639719"/>
            <a:gd name="connsiteY19" fmla="*/ 3369679 h 7007051"/>
            <a:gd name="connsiteX20" fmla="*/ 2893037 w 4639719"/>
            <a:gd name="connsiteY20" fmla="*/ 3554559 h 7007051"/>
            <a:gd name="connsiteX21" fmla="*/ 3356020 w 4639719"/>
            <a:gd name="connsiteY21" fmla="*/ 3741583 h 7007051"/>
            <a:gd name="connsiteX22" fmla="*/ 3383911 w 4639719"/>
            <a:gd name="connsiteY22" fmla="*/ 4018854 h 7007051"/>
            <a:gd name="connsiteX23" fmla="*/ 3611651 w 4639719"/>
            <a:gd name="connsiteY23" fmla="*/ 4189085 h 7007051"/>
            <a:gd name="connsiteX24" fmla="*/ 3562243 w 4639719"/>
            <a:gd name="connsiteY24" fmla="*/ 4462626 h 7007051"/>
            <a:gd name="connsiteX25" fmla="*/ 3467805 w 4639719"/>
            <a:gd name="connsiteY25" fmla="*/ 4661583 h 7007051"/>
            <a:gd name="connsiteX26" fmla="*/ 3668060 w 4639719"/>
            <a:gd name="connsiteY26" fmla="*/ 4707646 h 7007051"/>
            <a:gd name="connsiteX27" fmla="*/ 3745746 w 4639719"/>
            <a:gd name="connsiteY27" fmla="*/ 4741627 h 7007051"/>
            <a:gd name="connsiteX28" fmla="*/ 3719012 w 4639719"/>
            <a:gd name="connsiteY28" fmla="*/ 5046272 h 7007051"/>
            <a:gd name="connsiteX29" fmla="*/ 4083088 w 4639719"/>
            <a:gd name="connsiteY29" fmla="*/ 5180238 h 7007051"/>
            <a:gd name="connsiteX30" fmla="*/ 4117263 w 4639719"/>
            <a:gd name="connsiteY30" fmla="*/ 5383001 h 7007051"/>
            <a:gd name="connsiteX31" fmla="*/ 4312130 w 4639719"/>
            <a:gd name="connsiteY31" fmla="*/ 5401041 h 7007051"/>
            <a:gd name="connsiteX32" fmla="*/ 4303586 w 4639719"/>
            <a:gd name="connsiteY32" fmla="*/ 5592777 h 7007051"/>
            <a:gd name="connsiteX33" fmla="*/ 4511503 w 4639719"/>
            <a:gd name="connsiteY33" fmla="*/ 5532287 h 7007051"/>
            <a:gd name="connsiteX34" fmla="*/ 4516414 w 4639719"/>
            <a:gd name="connsiteY34" fmla="*/ 5753106 h 7007051"/>
            <a:gd name="connsiteX35" fmla="*/ 4305076 w 4639719"/>
            <a:gd name="connsiteY35" fmla="*/ 5803898 h 7007051"/>
            <a:gd name="connsiteX36" fmla="*/ 3861533 w 4639719"/>
            <a:gd name="connsiteY36" fmla="*/ 6384094 h 7007051"/>
            <a:gd name="connsiteX37" fmla="*/ 4454205 w 4639719"/>
            <a:gd name="connsiteY37" fmla="*/ 7007051 h 7007051"/>
            <a:gd name="connsiteX38" fmla="*/ 12900 w 4639719"/>
            <a:gd name="connsiteY38" fmla="*/ 6992686 h 7007051"/>
            <a:gd name="connsiteX0" fmla="*/ 12900 w 4639719"/>
            <a:gd name="connsiteY0" fmla="*/ 6992686 h 7007051"/>
            <a:gd name="connsiteX1" fmla="*/ 12900 w 4639719"/>
            <a:gd name="connsiteY1" fmla="*/ 2611187 h 7007051"/>
            <a:gd name="connsiteX2" fmla="*/ 4000 w 4639719"/>
            <a:gd name="connsiteY2" fmla="*/ 1239764 h 7007051"/>
            <a:gd name="connsiteX3" fmla="*/ 4000 w 4639719"/>
            <a:gd name="connsiteY3" fmla="*/ 17389 h 7007051"/>
            <a:gd name="connsiteX4" fmla="*/ 1632181 w 4639719"/>
            <a:gd name="connsiteY4" fmla="*/ 0 h 7007051"/>
            <a:gd name="connsiteX5" fmla="*/ 1644235 w 4639719"/>
            <a:gd name="connsiteY5" fmla="*/ 654878 h 7007051"/>
            <a:gd name="connsiteX6" fmla="*/ 1721297 w 4639719"/>
            <a:gd name="connsiteY6" fmla="*/ 795713 h 7007051"/>
            <a:gd name="connsiteX7" fmla="*/ 1632323 w 4639719"/>
            <a:gd name="connsiteY7" fmla="*/ 960913 h 7007051"/>
            <a:gd name="connsiteX8" fmla="*/ 1555131 w 4639719"/>
            <a:gd name="connsiteY8" fmla="*/ 1525409 h 7007051"/>
            <a:gd name="connsiteX9" fmla="*/ 984682 w 4639719"/>
            <a:gd name="connsiteY9" fmla="*/ 2014444 h 7007051"/>
            <a:gd name="connsiteX10" fmla="*/ 976716 w 4639719"/>
            <a:gd name="connsiteY10" fmla="*/ 2666392 h 7007051"/>
            <a:gd name="connsiteX11" fmla="*/ 1173829 w 4639719"/>
            <a:gd name="connsiteY11" fmla="*/ 2883923 h 7007051"/>
            <a:gd name="connsiteX12" fmla="*/ 1341625 w 4639719"/>
            <a:gd name="connsiteY12" fmla="*/ 2961266 h 7007051"/>
            <a:gd name="connsiteX13" fmla="*/ 1496066 w 4639719"/>
            <a:gd name="connsiteY13" fmla="*/ 3027600 h 7007051"/>
            <a:gd name="connsiteX14" fmla="*/ 1659677 w 4639719"/>
            <a:gd name="connsiteY14" fmla="*/ 3056146 h 7007051"/>
            <a:gd name="connsiteX15" fmla="*/ 1858486 w 4639719"/>
            <a:gd name="connsiteY15" fmla="*/ 3154588 h 7007051"/>
            <a:gd name="connsiteX16" fmla="*/ 2351038 w 4639719"/>
            <a:gd name="connsiteY16" fmla="*/ 3092904 h 7007051"/>
            <a:gd name="connsiteX17" fmla="*/ 2665910 w 4639719"/>
            <a:gd name="connsiteY17" fmla="*/ 2983079 h 7007051"/>
            <a:gd name="connsiteX18" fmla="*/ 2760372 w 4639719"/>
            <a:gd name="connsiteY18" fmla="*/ 3175274 h 7007051"/>
            <a:gd name="connsiteX19" fmla="*/ 2550152 w 4639719"/>
            <a:gd name="connsiteY19" fmla="*/ 3369679 h 7007051"/>
            <a:gd name="connsiteX20" fmla="*/ 2893037 w 4639719"/>
            <a:gd name="connsiteY20" fmla="*/ 3554559 h 7007051"/>
            <a:gd name="connsiteX21" fmla="*/ 3356020 w 4639719"/>
            <a:gd name="connsiteY21" fmla="*/ 3741583 h 7007051"/>
            <a:gd name="connsiteX22" fmla="*/ 3383911 w 4639719"/>
            <a:gd name="connsiteY22" fmla="*/ 4018854 h 7007051"/>
            <a:gd name="connsiteX23" fmla="*/ 3611651 w 4639719"/>
            <a:gd name="connsiteY23" fmla="*/ 4189085 h 7007051"/>
            <a:gd name="connsiteX24" fmla="*/ 3562243 w 4639719"/>
            <a:gd name="connsiteY24" fmla="*/ 4462626 h 7007051"/>
            <a:gd name="connsiteX25" fmla="*/ 3467805 w 4639719"/>
            <a:gd name="connsiteY25" fmla="*/ 4661583 h 7007051"/>
            <a:gd name="connsiteX26" fmla="*/ 3668060 w 4639719"/>
            <a:gd name="connsiteY26" fmla="*/ 4707646 h 7007051"/>
            <a:gd name="connsiteX27" fmla="*/ 3745746 w 4639719"/>
            <a:gd name="connsiteY27" fmla="*/ 4741627 h 7007051"/>
            <a:gd name="connsiteX28" fmla="*/ 3719012 w 4639719"/>
            <a:gd name="connsiteY28" fmla="*/ 5046272 h 7007051"/>
            <a:gd name="connsiteX29" fmla="*/ 4083088 w 4639719"/>
            <a:gd name="connsiteY29" fmla="*/ 5180238 h 7007051"/>
            <a:gd name="connsiteX30" fmla="*/ 4117263 w 4639719"/>
            <a:gd name="connsiteY30" fmla="*/ 5383001 h 7007051"/>
            <a:gd name="connsiteX31" fmla="*/ 4312130 w 4639719"/>
            <a:gd name="connsiteY31" fmla="*/ 5401041 h 7007051"/>
            <a:gd name="connsiteX32" fmla="*/ 4303586 w 4639719"/>
            <a:gd name="connsiteY32" fmla="*/ 5592777 h 7007051"/>
            <a:gd name="connsiteX33" fmla="*/ 4511503 w 4639719"/>
            <a:gd name="connsiteY33" fmla="*/ 5532287 h 7007051"/>
            <a:gd name="connsiteX34" fmla="*/ 4516414 w 4639719"/>
            <a:gd name="connsiteY34" fmla="*/ 5753106 h 7007051"/>
            <a:gd name="connsiteX35" fmla="*/ 4305076 w 4639719"/>
            <a:gd name="connsiteY35" fmla="*/ 5803898 h 7007051"/>
            <a:gd name="connsiteX36" fmla="*/ 3861533 w 4639719"/>
            <a:gd name="connsiteY36" fmla="*/ 6384094 h 7007051"/>
            <a:gd name="connsiteX37" fmla="*/ 4454205 w 4639719"/>
            <a:gd name="connsiteY37" fmla="*/ 7007051 h 7007051"/>
            <a:gd name="connsiteX38" fmla="*/ 12900 w 4639719"/>
            <a:gd name="connsiteY38" fmla="*/ 6992686 h 7007051"/>
            <a:gd name="connsiteX0" fmla="*/ 12900 w 4639719"/>
            <a:gd name="connsiteY0" fmla="*/ 6992686 h 7007051"/>
            <a:gd name="connsiteX1" fmla="*/ 12900 w 4639719"/>
            <a:gd name="connsiteY1" fmla="*/ 2611187 h 7007051"/>
            <a:gd name="connsiteX2" fmla="*/ 4000 w 4639719"/>
            <a:gd name="connsiteY2" fmla="*/ 1239764 h 7007051"/>
            <a:gd name="connsiteX3" fmla="*/ 4000 w 4639719"/>
            <a:gd name="connsiteY3" fmla="*/ 17389 h 7007051"/>
            <a:gd name="connsiteX4" fmla="*/ 1632181 w 4639719"/>
            <a:gd name="connsiteY4" fmla="*/ 0 h 7007051"/>
            <a:gd name="connsiteX5" fmla="*/ 1644235 w 4639719"/>
            <a:gd name="connsiteY5" fmla="*/ 654878 h 7007051"/>
            <a:gd name="connsiteX6" fmla="*/ 1721297 w 4639719"/>
            <a:gd name="connsiteY6" fmla="*/ 795713 h 7007051"/>
            <a:gd name="connsiteX7" fmla="*/ 1632323 w 4639719"/>
            <a:gd name="connsiteY7" fmla="*/ 960913 h 7007051"/>
            <a:gd name="connsiteX8" fmla="*/ 1555131 w 4639719"/>
            <a:gd name="connsiteY8" fmla="*/ 1525409 h 7007051"/>
            <a:gd name="connsiteX9" fmla="*/ 984682 w 4639719"/>
            <a:gd name="connsiteY9" fmla="*/ 2014444 h 7007051"/>
            <a:gd name="connsiteX10" fmla="*/ 976716 w 4639719"/>
            <a:gd name="connsiteY10" fmla="*/ 2666392 h 7007051"/>
            <a:gd name="connsiteX11" fmla="*/ 1173829 w 4639719"/>
            <a:gd name="connsiteY11" fmla="*/ 2883923 h 7007051"/>
            <a:gd name="connsiteX12" fmla="*/ 1341625 w 4639719"/>
            <a:gd name="connsiteY12" fmla="*/ 2961266 h 7007051"/>
            <a:gd name="connsiteX13" fmla="*/ 1496066 w 4639719"/>
            <a:gd name="connsiteY13" fmla="*/ 3027600 h 7007051"/>
            <a:gd name="connsiteX14" fmla="*/ 1638686 w 4639719"/>
            <a:gd name="connsiteY14" fmla="*/ 3101907 h 7007051"/>
            <a:gd name="connsiteX15" fmla="*/ 1858486 w 4639719"/>
            <a:gd name="connsiteY15" fmla="*/ 3154588 h 7007051"/>
            <a:gd name="connsiteX16" fmla="*/ 2351038 w 4639719"/>
            <a:gd name="connsiteY16" fmla="*/ 3092904 h 7007051"/>
            <a:gd name="connsiteX17" fmla="*/ 2665910 w 4639719"/>
            <a:gd name="connsiteY17" fmla="*/ 2983079 h 7007051"/>
            <a:gd name="connsiteX18" fmla="*/ 2760372 w 4639719"/>
            <a:gd name="connsiteY18" fmla="*/ 3175274 h 7007051"/>
            <a:gd name="connsiteX19" fmla="*/ 2550152 w 4639719"/>
            <a:gd name="connsiteY19" fmla="*/ 3369679 h 7007051"/>
            <a:gd name="connsiteX20" fmla="*/ 2893037 w 4639719"/>
            <a:gd name="connsiteY20" fmla="*/ 3554559 h 7007051"/>
            <a:gd name="connsiteX21" fmla="*/ 3356020 w 4639719"/>
            <a:gd name="connsiteY21" fmla="*/ 3741583 h 7007051"/>
            <a:gd name="connsiteX22" fmla="*/ 3383911 w 4639719"/>
            <a:gd name="connsiteY22" fmla="*/ 4018854 h 7007051"/>
            <a:gd name="connsiteX23" fmla="*/ 3611651 w 4639719"/>
            <a:gd name="connsiteY23" fmla="*/ 4189085 h 7007051"/>
            <a:gd name="connsiteX24" fmla="*/ 3562243 w 4639719"/>
            <a:gd name="connsiteY24" fmla="*/ 4462626 h 7007051"/>
            <a:gd name="connsiteX25" fmla="*/ 3467805 w 4639719"/>
            <a:gd name="connsiteY25" fmla="*/ 4661583 h 7007051"/>
            <a:gd name="connsiteX26" fmla="*/ 3668060 w 4639719"/>
            <a:gd name="connsiteY26" fmla="*/ 4707646 h 7007051"/>
            <a:gd name="connsiteX27" fmla="*/ 3745746 w 4639719"/>
            <a:gd name="connsiteY27" fmla="*/ 4741627 h 7007051"/>
            <a:gd name="connsiteX28" fmla="*/ 3719012 w 4639719"/>
            <a:gd name="connsiteY28" fmla="*/ 5046272 h 7007051"/>
            <a:gd name="connsiteX29" fmla="*/ 4083088 w 4639719"/>
            <a:gd name="connsiteY29" fmla="*/ 5180238 h 7007051"/>
            <a:gd name="connsiteX30" fmla="*/ 4117263 w 4639719"/>
            <a:gd name="connsiteY30" fmla="*/ 5383001 h 7007051"/>
            <a:gd name="connsiteX31" fmla="*/ 4312130 w 4639719"/>
            <a:gd name="connsiteY31" fmla="*/ 5401041 h 7007051"/>
            <a:gd name="connsiteX32" fmla="*/ 4303586 w 4639719"/>
            <a:gd name="connsiteY32" fmla="*/ 5592777 h 7007051"/>
            <a:gd name="connsiteX33" fmla="*/ 4511503 w 4639719"/>
            <a:gd name="connsiteY33" fmla="*/ 5532287 h 7007051"/>
            <a:gd name="connsiteX34" fmla="*/ 4516414 w 4639719"/>
            <a:gd name="connsiteY34" fmla="*/ 5753106 h 7007051"/>
            <a:gd name="connsiteX35" fmla="*/ 4305076 w 4639719"/>
            <a:gd name="connsiteY35" fmla="*/ 5803898 h 7007051"/>
            <a:gd name="connsiteX36" fmla="*/ 3861533 w 4639719"/>
            <a:gd name="connsiteY36" fmla="*/ 6384094 h 7007051"/>
            <a:gd name="connsiteX37" fmla="*/ 4454205 w 4639719"/>
            <a:gd name="connsiteY37" fmla="*/ 7007051 h 7007051"/>
            <a:gd name="connsiteX38" fmla="*/ 12900 w 4639719"/>
            <a:gd name="connsiteY38" fmla="*/ 6992686 h 7007051"/>
            <a:gd name="connsiteX0" fmla="*/ 12900 w 4639719"/>
            <a:gd name="connsiteY0" fmla="*/ 6992686 h 7007051"/>
            <a:gd name="connsiteX1" fmla="*/ 12900 w 4639719"/>
            <a:gd name="connsiteY1" fmla="*/ 2611187 h 7007051"/>
            <a:gd name="connsiteX2" fmla="*/ 4000 w 4639719"/>
            <a:gd name="connsiteY2" fmla="*/ 1239764 h 7007051"/>
            <a:gd name="connsiteX3" fmla="*/ 4000 w 4639719"/>
            <a:gd name="connsiteY3" fmla="*/ 17389 h 7007051"/>
            <a:gd name="connsiteX4" fmla="*/ 1632181 w 4639719"/>
            <a:gd name="connsiteY4" fmla="*/ 0 h 7007051"/>
            <a:gd name="connsiteX5" fmla="*/ 1644235 w 4639719"/>
            <a:gd name="connsiteY5" fmla="*/ 654878 h 7007051"/>
            <a:gd name="connsiteX6" fmla="*/ 1721297 w 4639719"/>
            <a:gd name="connsiteY6" fmla="*/ 795713 h 7007051"/>
            <a:gd name="connsiteX7" fmla="*/ 1632323 w 4639719"/>
            <a:gd name="connsiteY7" fmla="*/ 960913 h 7007051"/>
            <a:gd name="connsiteX8" fmla="*/ 1555131 w 4639719"/>
            <a:gd name="connsiteY8" fmla="*/ 1525409 h 7007051"/>
            <a:gd name="connsiteX9" fmla="*/ 984682 w 4639719"/>
            <a:gd name="connsiteY9" fmla="*/ 2014444 h 7007051"/>
            <a:gd name="connsiteX10" fmla="*/ 976716 w 4639719"/>
            <a:gd name="connsiteY10" fmla="*/ 2666392 h 7007051"/>
            <a:gd name="connsiteX11" fmla="*/ 1173829 w 4639719"/>
            <a:gd name="connsiteY11" fmla="*/ 2883923 h 7007051"/>
            <a:gd name="connsiteX12" fmla="*/ 1496066 w 4639719"/>
            <a:gd name="connsiteY12" fmla="*/ 3027600 h 7007051"/>
            <a:gd name="connsiteX13" fmla="*/ 1638686 w 4639719"/>
            <a:gd name="connsiteY13" fmla="*/ 3101907 h 7007051"/>
            <a:gd name="connsiteX14" fmla="*/ 1858486 w 4639719"/>
            <a:gd name="connsiteY14" fmla="*/ 3154588 h 7007051"/>
            <a:gd name="connsiteX15" fmla="*/ 2351038 w 4639719"/>
            <a:gd name="connsiteY15" fmla="*/ 3092904 h 7007051"/>
            <a:gd name="connsiteX16" fmla="*/ 2665910 w 4639719"/>
            <a:gd name="connsiteY16" fmla="*/ 2983079 h 7007051"/>
            <a:gd name="connsiteX17" fmla="*/ 2760372 w 4639719"/>
            <a:gd name="connsiteY17" fmla="*/ 3175274 h 7007051"/>
            <a:gd name="connsiteX18" fmla="*/ 2550152 w 4639719"/>
            <a:gd name="connsiteY18" fmla="*/ 3369679 h 7007051"/>
            <a:gd name="connsiteX19" fmla="*/ 2893037 w 4639719"/>
            <a:gd name="connsiteY19" fmla="*/ 3554559 h 7007051"/>
            <a:gd name="connsiteX20" fmla="*/ 3356020 w 4639719"/>
            <a:gd name="connsiteY20" fmla="*/ 3741583 h 7007051"/>
            <a:gd name="connsiteX21" fmla="*/ 3383911 w 4639719"/>
            <a:gd name="connsiteY21" fmla="*/ 4018854 h 7007051"/>
            <a:gd name="connsiteX22" fmla="*/ 3611651 w 4639719"/>
            <a:gd name="connsiteY22" fmla="*/ 4189085 h 7007051"/>
            <a:gd name="connsiteX23" fmla="*/ 3562243 w 4639719"/>
            <a:gd name="connsiteY23" fmla="*/ 4462626 h 7007051"/>
            <a:gd name="connsiteX24" fmla="*/ 3467805 w 4639719"/>
            <a:gd name="connsiteY24" fmla="*/ 4661583 h 7007051"/>
            <a:gd name="connsiteX25" fmla="*/ 3668060 w 4639719"/>
            <a:gd name="connsiteY25" fmla="*/ 4707646 h 7007051"/>
            <a:gd name="connsiteX26" fmla="*/ 3745746 w 4639719"/>
            <a:gd name="connsiteY26" fmla="*/ 4741627 h 7007051"/>
            <a:gd name="connsiteX27" fmla="*/ 3719012 w 4639719"/>
            <a:gd name="connsiteY27" fmla="*/ 5046272 h 7007051"/>
            <a:gd name="connsiteX28" fmla="*/ 4083088 w 4639719"/>
            <a:gd name="connsiteY28" fmla="*/ 5180238 h 7007051"/>
            <a:gd name="connsiteX29" fmla="*/ 4117263 w 4639719"/>
            <a:gd name="connsiteY29" fmla="*/ 5383001 h 7007051"/>
            <a:gd name="connsiteX30" fmla="*/ 4312130 w 4639719"/>
            <a:gd name="connsiteY30" fmla="*/ 5401041 h 7007051"/>
            <a:gd name="connsiteX31" fmla="*/ 4303586 w 4639719"/>
            <a:gd name="connsiteY31" fmla="*/ 5592777 h 7007051"/>
            <a:gd name="connsiteX32" fmla="*/ 4511503 w 4639719"/>
            <a:gd name="connsiteY32" fmla="*/ 5532287 h 7007051"/>
            <a:gd name="connsiteX33" fmla="*/ 4516414 w 4639719"/>
            <a:gd name="connsiteY33" fmla="*/ 5753106 h 7007051"/>
            <a:gd name="connsiteX34" fmla="*/ 4305076 w 4639719"/>
            <a:gd name="connsiteY34" fmla="*/ 5803898 h 7007051"/>
            <a:gd name="connsiteX35" fmla="*/ 3861533 w 4639719"/>
            <a:gd name="connsiteY35" fmla="*/ 6384094 h 7007051"/>
            <a:gd name="connsiteX36" fmla="*/ 4454205 w 4639719"/>
            <a:gd name="connsiteY36" fmla="*/ 7007051 h 7007051"/>
            <a:gd name="connsiteX37" fmla="*/ 12900 w 4639719"/>
            <a:gd name="connsiteY37" fmla="*/ 6992686 h 7007051"/>
            <a:gd name="connsiteX0" fmla="*/ 12900 w 4639719"/>
            <a:gd name="connsiteY0" fmla="*/ 6992686 h 7007051"/>
            <a:gd name="connsiteX1" fmla="*/ 12900 w 4639719"/>
            <a:gd name="connsiteY1" fmla="*/ 2611187 h 7007051"/>
            <a:gd name="connsiteX2" fmla="*/ 4000 w 4639719"/>
            <a:gd name="connsiteY2" fmla="*/ 1239764 h 7007051"/>
            <a:gd name="connsiteX3" fmla="*/ 4000 w 4639719"/>
            <a:gd name="connsiteY3" fmla="*/ 17389 h 7007051"/>
            <a:gd name="connsiteX4" fmla="*/ 1632181 w 4639719"/>
            <a:gd name="connsiteY4" fmla="*/ 0 h 7007051"/>
            <a:gd name="connsiteX5" fmla="*/ 1644235 w 4639719"/>
            <a:gd name="connsiteY5" fmla="*/ 654878 h 7007051"/>
            <a:gd name="connsiteX6" fmla="*/ 1721297 w 4639719"/>
            <a:gd name="connsiteY6" fmla="*/ 795713 h 7007051"/>
            <a:gd name="connsiteX7" fmla="*/ 1632323 w 4639719"/>
            <a:gd name="connsiteY7" fmla="*/ 960913 h 7007051"/>
            <a:gd name="connsiteX8" fmla="*/ 1555131 w 4639719"/>
            <a:gd name="connsiteY8" fmla="*/ 1525409 h 7007051"/>
            <a:gd name="connsiteX9" fmla="*/ 984682 w 4639719"/>
            <a:gd name="connsiteY9" fmla="*/ 2014444 h 7007051"/>
            <a:gd name="connsiteX10" fmla="*/ 976716 w 4639719"/>
            <a:gd name="connsiteY10" fmla="*/ 2666392 h 7007051"/>
            <a:gd name="connsiteX11" fmla="*/ 1173829 w 4639719"/>
            <a:gd name="connsiteY11" fmla="*/ 2883923 h 7007051"/>
            <a:gd name="connsiteX12" fmla="*/ 1496066 w 4639719"/>
            <a:gd name="connsiteY12" fmla="*/ 3027600 h 7007051"/>
            <a:gd name="connsiteX13" fmla="*/ 1858486 w 4639719"/>
            <a:gd name="connsiteY13" fmla="*/ 3154588 h 7007051"/>
            <a:gd name="connsiteX14" fmla="*/ 2351038 w 4639719"/>
            <a:gd name="connsiteY14" fmla="*/ 3092904 h 7007051"/>
            <a:gd name="connsiteX15" fmla="*/ 2665910 w 4639719"/>
            <a:gd name="connsiteY15" fmla="*/ 2983079 h 7007051"/>
            <a:gd name="connsiteX16" fmla="*/ 2760372 w 4639719"/>
            <a:gd name="connsiteY16" fmla="*/ 3175274 h 7007051"/>
            <a:gd name="connsiteX17" fmla="*/ 2550152 w 4639719"/>
            <a:gd name="connsiteY17" fmla="*/ 3369679 h 7007051"/>
            <a:gd name="connsiteX18" fmla="*/ 2893037 w 4639719"/>
            <a:gd name="connsiteY18" fmla="*/ 3554559 h 7007051"/>
            <a:gd name="connsiteX19" fmla="*/ 3356020 w 4639719"/>
            <a:gd name="connsiteY19" fmla="*/ 3741583 h 7007051"/>
            <a:gd name="connsiteX20" fmla="*/ 3383911 w 4639719"/>
            <a:gd name="connsiteY20" fmla="*/ 4018854 h 7007051"/>
            <a:gd name="connsiteX21" fmla="*/ 3611651 w 4639719"/>
            <a:gd name="connsiteY21" fmla="*/ 4189085 h 7007051"/>
            <a:gd name="connsiteX22" fmla="*/ 3562243 w 4639719"/>
            <a:gd name="connsiteY22" fmla="*/ 4462626 h 7007051"/>
            <a:gd name="connsiteX23" fmla="*/ 3467805 w 4639719"/>
            <a:gd name="connsiteY23" fmla="*/ 4661583 h 7007051"/>
            <a:gd name="connsiteX24" fmla="*/ 3668060 w 4639719"/>
            <a:gd name="connsiteY24" fmla="*/ 4707646 h 7007051"/>
            <a:gd name="connsiteX25" fmla="*/ 3745746 w 4639719"/>
            <a:gd name="connsiteY25" fmla="*/ 4741627 h 7007051"/>
            <a:gd name="connsiteX26" fmla="*/ 3719012 w 4639719"/>
            <a:gd name="connsiteY26" fmla="*/ 5046272 h 7007051"/>
            <a:gd name="connsiteX27" fmla="*/ 4083088 w 4639719"/>
            <a:gd name="connsiteY27" fmla="*/ 5180238 h 7007051"/>
            <a:gd name="connsiteX28" fmla="*/ 4117263 w 4639719"/>
            <a:gd name="connsiteY28" fmla="*/ 5383001 h 7007051"/>
            <a:gd name="connsiteX29" fmla="*/ 4312130 w 4639719"/>
            <a:gd name="connsiteY29" fmla="*/ 5401041 h 7007051"/>
            <a:gd name="connsiteX30" fmla="*/ 4303586 w 4639719"/>
            <a:gd name="connsiteY30" fmla="*/ 5592777 h 7007051"/>
            <a:gd name="connsiteX31" fmla="*/ 4511503 w 4639719"/>
            <a:gd name="connsiteY31" fmla="*/ 5532287 h 7007051"/>
            <a:gd name="connsiteX32" fmla="*/ 4516414 w 4639719"/>
            <a:gd name="connsiteY32" fmla="*/ 5753106 h 7007051"/>
            <a:gd name="connsiteX33" fmla="*/ 4305076 w 4639719"/>
            <a:gd name="connsiteY33" fmla="*/ 5803898 h 7007051"/>
            <a:gd name="connsiteX34" fmla="*/ 3861533 w 4639719"/>
            <a:gd name="connsiteY34" fmla="*/ 6384094 h 7007051"/>
            <a:gd name="connsiteX35" fmla="*/ 4454205 w 4639719"/>
            <a:gd name="connsiteY35" fmla="*/ 7007051 h 7007051"/>
            <a:gd name="connsiteX36" fmla="*/ 12900 w 4639719"/>
            <a:gd name="connsiteY36" fmla="*/ 6992686 h 7007051"/>
            <a:gd name="connsiteX0" fmla="*/ 12900 w 4639719"/>
            <a:gd name="connsiteY0" fmla="*/ 6992686 h 7007051"/>
            <a:gd name="connsiteX1" fmla="*/ 12900 w 4639719"/>
            <a:gd name="connsiteY1" fmla="*/ 2611187 h 7007051"/>
            <a:gd name="connsiteX2" fmla="*/ 4000 w 4639719"/>
            <a:gd name="connsiteY2" fmla="*/ 1239764 h 7007051"/>
            <a:gd name="connsiteX3" fmla="*/ 4000 w 4639719"/>
            <a:gd name="connsiteY3" fmla="*/ 17389 h 7007051"/>
            <a:gd name="connsiteX4" fmla="*/ 1632181 w 4639719"/>
            <a:gd name="connsiteY4" fmla="*/ 0 h 7007051"/>
            <a:gd name="connsiteX5" fmla="*/ 1644235 w 4639719"/>
            <a:gd name="connsiteY5" fmla="*/ 654878 h 7007051"/>
            <a:gd name="connsiteX6" fmla="*/ 1721297 w 4639719"/>
            <a:gd name="connsiteY6" fmla="*/ 795713 h 7007051"/>
            <a:gd name="connsiteX7" fmla="*/ 1632323 w 4639719"/>
            <a:gd name="connsiteY7" fmla="*/ 960913 h 7007051"/>
            <a:gd name="connsiteX8" fmla="*/ 1555131 w 4639719"/>
            <a:gd name="connsiteY8" fmla="*/ 1525409 h 7007051"/>
            <a:gd name="connsiteX9" fmla="*/ 984682 w 4639719"/>
            <a:gd name="connsiteY9" fmla="*/ 2014444 h 7007051"/>
            <a:gd name="connsiteX10" fmla="*/ 976716 w 4639719"/>
            <a:gd name="connsiteY10" fmla="*/ 2666392 h 7007051"/>
            <a:gd name="connsiteX11" fmla="*/ 1173829 w 4639719"/>
            <a:gd name="connsiteY11" fmla="*/ 2883923 h 7007051"/>
            <a:gd name="connsiteX12" fmla="*/ 1464579 w 4639719"/>
            <a:gd name="connsiteY12" fmla="*/ 3073361 h 7007051"/>
            <a:gd name="connsiteX13" fmla="*/ 1858486 w 4639719"/>
            <a:gd name="connsiteY13" fmla="*/ 3154588 h 7007051"/>
            <a:gd name="connsiteX14" fmla="*/ 2351038 w 4639719"/>
            <a:gd name="connsiteY14" fmla="*/ 3092904 h 7007051"/>
            <a:gd name="connsiteX15" fmla="*/ 2665910 w 4639719"/>
            <a:gd name="connsiteY15" fmla="*/ 2983079 h 7007051"/>
            <a:gd name="connsiteX16" fmla="*/ 2760372 w 4639719"/>
            <a:gd name="connsiteY16" fmla="*/ 3175274 h 7007051"/>
            <a:gd name="connsiteX17" fmla="*/ 2550152 w 4639719"/>
            <a:gd name="connsiteY17" fmla="*/ 3369679 h 7007051"/>
            <a:gd name="connsiteX18" fmla="*/ 2893037 w 4639719"/>
            <a:gd name="connsiteY18" fmla="*/ 3554559 h 7007051"/>
            <a:gd name="connsiteX19" fmla="*/ 3356020 w 4639719"/>
            <a:gd name="connsiteY19" fmla="*/ 3741583 h 7007051"/>
            <a:gd name="connsiteX20" fmla="*/ 3383911 w 4639719"/>
            <a:gd name="connsiteY20" fmla="*/ 4018854 h 7007051"/>
            <a:gd name="connsiteX21" fmla="*/ 3611651 w 4639719"/>
            <a:gd name="connsiteY21" fmla="*/ 4189085 h 7007051"/>
            <a:gd name="connsiteX22" fmla="*/ 3562243 w 4639719"/>
            <a:gd name="connsiteY22" fmla="*/ 4462626 h 7007051"/>
            <a:gd name="connsiteX23" fmla="*/ 3467805 w 4639719"/>
            <a:gd name="connsiteY23" fmla="*/ 4661583 h 7007051"/>
            <a:gd name="connsiteX24" fmla="*/ 3668060 w 4639719"/>
            <a:gd name="connsiteY24" fmla="*/ 4707646 h 7007051"/>
            <a:gd name="connsiteX25" fmla="*/ 3745746 w 4639719"/>
            <a:gd name="connsiteY25" fmla="*/ 4741627 h 7007051"/>
            <a:gd name="connsiteX26" fmla="*/ 3719012 w 4639719"/>
            <a:gd name="connsiteY26" fmla="*/ 5046272 h 7007051"/>
            <a:gd name="connsiteX27" fmla="*/ 4083088 w 4639719"/>
            <a:gd name="connsiteY27" fmla="*/ 5180238 h 7007051"/>
            <a:gd name="connsiteX28" fmla="*/ 4117263 w 4639719"/>
            <a:gd name="connsiteY28" fmla="*/ 5383001 h 7007051"/>
            <a:gd name="connsiteX29" fmla="*/ 4312130 w 4639719"/>
            <a:gd name="connsiteY29" fmla="*/ 5401041 h 7007051"/>
            <a:gd name="connsiteX30" fmla="*/ 4303586 w 4639719"/>
            <a:gd name="connsiteY30" fmla="*/ 5592777 h 7007051"/>
            <a:gd name="connsiteX31" fmla="*/ 4511503 w 4639719"/>
            <a:gd name="connsiteY31" fmla="*/ 5532287 h 7007051"/>
            <a:gd name="connsiteX32" fmla="*/ 4516414 w 4639719"/>
            <a:gd name="connsiteY32" fmla="*/ 5753106 h 7007051"/>
            <a:gd name="connsiteX33" fmla="*/ 4305076 w 4639719"/>
            <a:gd name="connsiteY33" fmla="*/ 5803898 h 7007051"/>
            <a:gd name="connsiteX34" fmla="*/ 3861533 w 4639719"/>
            <a:gd name="connsiteY34" fmla="*/ 6384094 h 7007051"/>
            <a:gd name="connsiteX35" fmla="*/ 4454205 w 4639719"/>
            <a:gd name="connsiteY35" fmla="*/ 7007051 h 7007051"/>
            <a:gd name="connsiteX36" fmla="*/ 12900 w 4639719"/>
            <a:gd name="connsiteY36" fmla="*/ 6992686 h 7007051"/>
            <a:gd name="connsiteX0" fmla="*/ 12900 w 4639719"/>
            <a:gd name="connsiteY0" fmla="*/ 6992686 h 7007051"/>
            <a:gd name="connsiteX1" fmla="*/ 12900 w 4639719"/>
            <a:gd name="connsiteY1" fmla="*/ 2611187 h 7007051"/>
            <a:gd name="connsiteX2" fmla="*/ 4000 w 4639719"/>
            <a:gd name="connsiteY2" fmla="*/ 1239764 h 7007051"/>
            <a:gd name="connsiteX3" fmla="*/ 4000 w 4639719"/>
            <a:gd name="connsiteY3" fmla="*/ 17389 h 7007051"/>
            <a:gd name="connsiteX4" fmla="*/ 1632181 w 4639719"/>
            <a:gd name="connsiteY4" fmla="*/ 0 h 7007051"/>
            <a:gd name="connsiteX5" fmla="*/ 1644235 w 4639719"/>
            <a:gd name="connsiteY5" fmla="*/ 654878 h 7007051"/>
            <a:gd name="connsiteX6" fmla="*/ 1721297 w 4639719"/>
            <a:gd name="connsiteY6" fmla="*/ 795713 h 7007051"/>
            <a:gd name="connsiteX7" fmla="*/ 1632323 w 4639719"/>
            <a:gd name="connsiteY7" fmla="*/ 960913 h 7007051"/>
            <a:gd name="connsiteX8" fmla="*/ 1555131 w 4639719"/>
            <a:gd name="connsiteY8" fmla="*/ 1525409 h 7007051"/>
            <a:gd name="connsiteX9" fmla="*/ 984682 w 4639719"/>
            <a:gd name="connsiteY9" fmla="*/ 2014444 h 7007051"/>
            <a:gd name="connsiteX10" fmla="*/ 976716 w 4639719"/>
            <a:gd name="connsiteY10" fmla="*/ 2666392 h 7007051"/>
            <a:gd name="connsiteX11" fmla="*/ 1173829 w 4639719"/>
            <a:gd name="connsiteY11" fmla="*/ 2883923 h 7007051"/>
            <a:gd name="connsiteX12" fmla="*/ 1464579 w 4639719"/>
            <a:gd name="connsiteY12" fmla="*/ 3073361 h 7007051"/>
            <a:gd name="connsiteX13" fmla="*/ 1858486 w 4639719"/>
            <a:gd name="connsiteY13" fmla="*/ 3154588 h 7007051"/>
            <a:gd name="connsiteX14" fmla="*/ 2351038 w 4639719"/>
            <a:gd name="connsiteY14" fmla="*/ 3092904 h 7007051"/>
            <a:gd name="connsiteX15" fmla="*/ 2665910 w 4639719"/>
            <a:gd name="connsiteY15" fmla="*/ 2983079 h 7007051"/>
            <a:gd name="connsiteX16" fmla="*/ 2760372 w 4639719"/>
            <a:gd name="connsiteY16" fmla="*/ 3175274 h 7007051"/>
            <a:gd name="connsiteX17" fmla="*/ 2550152 w 4639719"/>
            <a:gd name="connsiteY17" fmla="*/ 3369679 h 7007051"/>
            <a:gd name="connsiteX18" fmla="*/ 2893037 w 4639719"/>
            <a:gd name="connsiteY18" fmla="*/ 3554559 h 7007051"/>
            <a:gd name="connsiteX19" fmla="*/ 3356020 w 4639719"/>
            <a:gd name="connsiteY19" fmla="*/ 3741583 h 7007051"/>
            <a:gd name="connsiteX20" fmla="*/ 3383911 w 4639719"/>
            <a:gd name="connsiteY20" fmla="*/ 4018854 h 7007051"/>
            <a:gd name="connsiteX21" fmla="*/ 3611651 w 4639719"/>
            <a:gd name="connsiteY21" fmla="*/ 4189085 h 7007051"/>
            <a:gd name="connsiteX22" fmla="*/ 3562243 w 4639719"/>
            <a:gd name="connsiteY22" fmla="*/ 4462626 h 7007051"/>
            <a:gd name="connsiteX23" fmla="*/ 3467805 w 4639719"/>
            <a:gd name="connsiteY23" fmla="*/ 4661583 h 7007051"/>
            <a:gd name="connsiteX24" fmla="*/ 3668060 w 4639719"/>
            <a:gd name="connsiteY24" fmla="*/ 4707646 h 7007051"/>
            <a:gd name="connsiteX25" fmla="*/ 3745746 w 4639719"/>
            <a:gd name="connsiteY25" fmla="*/ 4860605 h 7007051"/>
            <a:gd name="connsiteX26" fmla="*/ 3719012 w 4639719"/>
            <a:gd name="connsiteY26" fmla="*/ 5046272 h 7007051"/>
            <a:gd name="connsiteX27" fmla="*/ 4083088 w 4639719"/>
            <a:gd name="connsiteY27" fmla="*/ 5180238 h 7007051"/>
            <a:gd name="connsiteX28" fmla="*/ 4117263 w 4639719"/>
            <a:gd name="connsiteY28" fmla="*/ 5383001 h 7007051"/>
            <a:gd name="connsiteX29" fmla="*/ 4312130 w 4639719"/>
            <a:gd name="connsiteY29" fmla="*/ 5401041 h 7007051"/>
            <a:gd name="connsiteX30" fmla="*/ 4303586 w 4639719"/>
            <a:gd name="connsiteY30" fmla="*/ 5592777 h 7007051"/>
            <a:gd name="connsiteX31" fmla="*/ 4511503 w 4639719"/>
            <a:gd name="connsiteY31" fmla="*/ 5532287 h 7007051"/>
            <a:gd name="connsiteX32" fmla="*/ 4516414 w 4639719"/>
            <a:gd name="connsiteY32" fmla="*/ 5753106 h 7007051"/>
            <a:gd name="connsiteX33" fmla="*/ 4305076 w 4639719"/>
            <a:gd name="connsiteY33" fmla="*/ 5803898 h 7007051"/>
            <a:gd name="connsiteX34" fmla="*/ 3861533 w 4639719"/>
            <a:gd name="connsiteY34" fmla="*/ 6384094 h 7007051"/>
            <a:gd name="connsiteX35" fmla="*/ 4454205 w 4639719"/>
            <a:gd name="connsiteY35" fmla="*/ 7007051 h 7007051"/>
            <a:gd name="connsiteX36" fmla="*/ 12900 w 4639719"/>
            <a:gd name="connsiteY36" fmla="*/ 6992686 h 7007051"/>
            <a:gd name="connsiteX0" fmla="*/ 12900 w 4639719"/>
            <a:gd name="connsiteY0" fmla="*/ 6992686 h 7007051"/>
            <a:gd name="connsiteX1" fmla="*/ 12900 w 4639719"/>
            <a:gd name="connsiteY1" fmla="*/ 2611187 h 7007051"/>
            <a:gd name="connsiteX2" fmla="*/ 4000 w 4639719"/>
            <a:gd name="connsiteY2" fmla="*/ 1239764 h 7007051"/>
            <a:gd name="connsiteX3" fmla="*/ 4000 w 4639719"/>
            <a:gd name="connsiteY3" fmla="*/ 17389 h 7007051"/>
            <a:gd name="connsiteX4" fmla="*/ 1632181 w 4639719"/>
            <a:gd name="connsiteY4" fmla="*/ 0 h 7007051"/>
            <a:gd name="connsiteX5" fmla="*/ 1644235 w 4639719"/>
            <a:gd name="connsiteY5" fmla="*/ 654878 h 7007051"/>
            <a:gd name="connsiteX6" fmla="*/ 1721297 w 4639719"/>
            <a:gd name="connsiteY6" fmla="*/ 795713 h 7007051"/>
            <a:gd name="connsiteX7" fmla="*/ 1632323 w 4639719"/>
            <a:gd name="connsiteY7" fmla="*/ 960913 h 7007051"/>
            <a:gd name="connsiteX8" fmla="*/ 1555131 w 4639719"/>
            <a:gd name="connsiteY8" fmla="*/ 1525409 h 7007051"/>
            <a:gd name="connsiteX9" fmla="*/ 984682 w 4639719"/>
            <a:gd name="connsiteY9" fmla="*/ 2014444 h 7007051"/>
            <a:gd name="connsiteX10" fmla="*/ 976716 w 4639719"/>
            <a:gd name="connsiteY10" fmla="*/ 2666392 h 7007051"/>
            <a:gd name="connsiteX11" fmla="*/ 1173829 w 4639719"/>
            <a:gd name="connsiteY11" fmla="*/ 2883923 h 7007051"/>
            <a:gd name="connsiteX12" fmla="*/ 1464579 w 4639719"/>
            <a:gd name="connsiteY12" fmla="*/ 3073361 h 7007051"/>
            <a:gd name="connsiteX13" fmla="*/ 1858486 w 4639719"/>
            <a:gd name="connsiteY13" fmla="*/ 3154588 h 7007051"/>
            <a:gd name="connsiteX14" fmla="*/ 2351038 w 4639719"/>
            <a:gd name="connsiteY14" fmla="*/ 3092904 h 7007051"/>
            <a:gd name="connsiteX15" fmla="*/ 2665910 w 4639719"/>
            <a:gd name="connsiteY15" fmla="*/ 2983079 h 7007051"/>
            <a:gd name="connsiteX16" fmla="*/ 2760372 w 4639719"/>
            <a:gd name="connsiteY16" fmla="*/ 3175274 h 7007051"/>
            <a:gd name="connsiteX17" fmla="*/ 2550152 w 4639719"/>
            <a:gd name="connsiteY17" fmla="*/ 3369679 h 7007051"/>
            <a:gd name="connsiteX18" fmla="*/ 2893037 w 4639719"/>
            <a:gd name="connsiteY18" fmla="*/ 3554559 h 7007051"/>
            <a:gd name="connsiteX19" fmla="*/ 3356020 w 4639719"/>
            <a:gd name="connsiteY19" fmla="*/ 3741583 h 7007051"/>
            <a:gd name="connsiteX20" fmla="*/ 3383911 w 4639719"/>
            <a:gd name="connsiteY20" fmla="*/ 4018854 h 7007051"/>
            <a:gd name="connsiteX21" fmla="*/ 3611651 w 4639719"/>
            <a:gd name="connsiteY21" fmla="*/ 4189085 h 7007051"/>
            <a:gd name="connsiteX22" fmla="*/ 3562243 w 4639719"/>
            <a:gd name="connsiteY22" fmla="*/ 4462626 h 7007051"/>
            <a:gd name="connsiteX23" fmla="*/ 3467805 w 4639719"/>
            <a:gd name="connsiteY23" fmla="*/ 4661583 h 7007051"/>
            <a:gd name="connsiteX24" fmla="*/ 3668060 w 4639719"/>
            <a:gd name="connsiteY24" fmla="*/ 4707646 h 7007051"/>
            <a:gd name="connsiteX25" fmla="*/ 3745746 w 4639719"/>
            <a:gd name="connsiteY25" fmla="*/ 4860605 h 7007051"/>
            <a:gd name="connsiteX26" fmla="*/ 3719012 w 4639719"/>
            <a:gd name="connsiteY26" fmla="*/ 5046272 h 7007051"/>
            <a:gd name="connsiteX27" fmla="*/ 4083088 w 4639719"/>
            <a:gd name="connsiteY27" fmla="*/ 5180238 h 7007051"/>
            <a:gd name="connsiteX28" fmla="*/ 4117263 w 4639719"/>
            <a:gd name="connsiteY28" fmla="*/ 5383001 h 7007051"/>
            <a:gd name="connsiteX29" fmla="*/ 4312130 w 4639719"/>
            <a:gd name="connsiteY29" fmla="*/ 5401041 h 7007051"/>
            <a:gd name="connsiteX30" fmla="*/ 4230117 w 4639719"/>
            <a:gd name="connsiteY30" fmla="*/ 5601929 h 7007051"/>
            <a:gd name="connsiteX31" fmla="*/ 4511503 w 4639719"/>
            <a:gd name="connsiteY31" fmla="*/ 5532287 h 7007051"/>
            <a:gd name="connsiteX32" fmla="*/ 4516414 w 4639719"/>
            <a:gd name="connsiteY32" fmla="*/ 5753106 h 7007051"/>
            <a:gd name="connsiteX33" fmla="*/ 4305076 w 4639719"/>
            <a:gd name="connsiteY33" fmla="*/ 5803898 h 7007051"/>
            <a:gd name="connsiteX34" fmla="*/ 3861533 w 4639719"/>
            <a:gd name="connsiteY34" fmla="*/ 6384094 h 7007051"/>
            <a:gd name="connsiteX35" fmla="*/ 4454205 w 4639719"/>
            <a:gd name="connsiteY35" fmla="*/ 7007051 h 7007051"/>
            <a:gd name="connsiteX36" fmla="*/ 12900 w 4639719"/>
            <a:gd name="connsiteY36" fmla="*/ 6992686 h 7007051"/>
            <a:gd name="connsiteX0" fmla="*/ 12900 w 4639719"/>
            <a:gd name="connsiteY0" fmla="*/ 6992686 h 7007051"/>
            <a:gd name="connsiteX1" fmla="*/ 12900 w 4639719"/>
            <a:gd name="connsiteY1" fmla="*/ 2611187 h 7007051"/>
            <a:gd name="connsiteX2" fmla="*/ 4000 w 4639719"/>
            <a:gd name="connsiteY2" fmla="*/ 1239764 h 7007051"/>
            <a:gd name="connsiteX3" fmla="*/ 4000 w 4639719"/>
            <a:gd name="connsiteY3" fmla="*/ 17389 h 7007051"/>
            <a:gd name="connsiteX4" fmla="*/ 1632181 w 4639719"/>
            <a:gd name="connsiteY4" fmla="*/ 0 h 7007051"/>
            <a:gd name="connsiteX5" fmla="*/ 1644235 w 4639719"/>
            <a:gd name="connsiteY5" fmla="*/ 654878 h 7007051"/>
            <a:gd name="connsiteX6" fmla="*/ 1721297 w 4639719"/>
            <a:gd name="connsiteY6" fmla="*/ 795713 h 7007051"/>
            <a:gd name="connsiteX7" fmla="*/ 1632323 w 4639719"/>
            <a:gd name="connsiteY7" fmla="*/ 960913 h 7007051"/>
            <a:gd name="connsiteX8" fmla="*/ 1555131 w 4639719"/>
            <a:gd name="connsiteY8" fmla="*/ 1525409 h 7007051"/>
            <a:gd name="connsiteX9" fmla="*/ 984682 w 4639719"/>
            <a:gd name="connsiteY9" fmla="*/ 2014444 h 7007051"/>
            <a:gd name="connsiteX10" fmla="*/ 976716 w 4639719"/>
            <a:gd name="connsiteY10" fmla="*/ 2666392 h 7007051"/>
            <a:gd name="connsiteX11" fmla="*/ 1173829 w 4639719"/>
            <a:gd name="connsiteY11" fmla="*/ 2883923 h 7007051"/>
            <a:gd name="connsiteX12" fmla="*/ 1464579 w 4639719"/>
            <a:gd name="connsiteY12" fmla="*/ 3073361 h 7007051"/>
            <a:gd name="connsiteX13" fmla="*/ 1858486 w 4639719"/>
            <a:gd name="connsiteY13" fmla="*/ 3154588 h 7007051"/>
            <a:gd name="connsiteX14" fmla="*/ 2351038 w 4639719"/>
            <a:gd name="connsiteY14" fmla="*/ 3092904 h 7007051"/>
            <a:gd name="connsiteX15" fmla="*/ 2665910 w 4639719"/>
            <a:gd name="connsiteY15" fmla="*/ 2983079 h 7007051"/>
            <a:gd name="connsiteX16" fmla="*/ 2760372 w 4639719"/>
            <a:gd name="connsiteY16" fmla="*/ 3175274 h 7007051"/>
            <a:gd name="connsiteX17" fmla="*/ 2550152 w 4639719"/>
            <a:gd name="connsiteY17" fmla="*/ 3369679 h 7007051"/>
            <a:gd name="connsiteX18" fmla="*/ 2893037 w 4639719"/>
            <a:gd name="connsiteY18" fmla="*/ 3554559 h 7007051"/>
            <a:gd name="connsiteX19" fmla="*/ 3356020 w 4639719"/>
            <a:gd name="connsiteY19" fmla="*/ 3741583 h 7007051"/>
            <a:gd name="connsiteX20" fmla="*/ 3383911 w 4639719"/>
            <a:gd name="connsiteY20" fmla="*/ 4018854 h 7007051"/>
            <a:gd name="connsiteX21" fmla="*/ 3611651 w 4639719"/>
            <a:gd name="connsiteY21" fmla="*/ 4189085 h 7007051"/>
            <a:gd name="connsiteX22" fmla="*/ 3562243 w 4639719"/>
            <a:gd name="connsiteY22" fmla="*/ 4462626 h 7007051"/>
            <a:gd name="connsiteX23" fmla="*/ 3467805 w 4639719"/>
            <a:gd name="connsiteY23" fmla="*/ 4661583 h 7007051"/>
            <a:gd name="connsiteX24" fmla="*/ 3668060 w 4639719"/>
            <a:gd name="connsiteY24" fmla="*/ 4707646 h 7007051"/>
            <a:gd name="connsiteX25" fmla="*/ 3745746 w 4639719"/>
            <a:gd name="connsiteY25" fmla="*/ 4860605 h 7007051"/>
            <a:gd name="connsiteX26" fmla="*/ 3719012 w 4639719"/>
            <a:gd name="connsiteY26" fmla="*/ 5046272 h 7007051"/>
            <a:gd name="connsiteX27" fmla="*/ 4083088 w 4639719"/>
            <a:gd name="connsiteY27" fmla="*/ 5180238 h 7007051"/>
            <a:gd name="connsiteX28" fmla="*/ 4117263 w 4639719"/>
            <a:gd name="connsiteY28" fmla="*/ 5383001 h 7007051"/>
            <a:gd name="connsiteX29" fmla="*/ 4312130 w 4639719"/>
            <a:gd name="connsiteY29" fmla="*/ 5401041 h 7007051"/>
            <a:gd name="connsiteX30" fmla="*/ 4230117 w 4639719"/>
            <a:gd name="connsiteY30" fmla="*/ 5601929 h 7007051"/>
            <a:gd name="connsiteX31" fmla="*/ 4511503 w 4639719"/>
            <a:gd name="connsiteY31" fmla="*/ 5532287 h 7007051"/>
            <a:gd name="connsiteX32" fmla="*/ 4516414 w 4639719"/>
            <a:gd name="connsiteY32" fmla="*/ 5753106 h 7007051"/>
            <a:gd name="connsiteX33" fmla="*/ 4231606 w 4639719"/>
            <a:gd name="connsiteY33" fmla="*/ 5803898 h 7007051"/>
            <a:gd name="connsiteX34" fmla="*/ 3861533 w 4639719"/>
            <a:gd name="connsiteY34" fmla="*/ 6384094 h 7007051"/>
            <a:gd name="connsiteX35" fmla="*/ 4454205 w 4639719"/>
            <a:gd name="connsiteY35" fmla="*/ 7007051 h 7007051"/>
            <a:gd name="connsiteX36" fmla="*/ 12900 w 4639719"/>
            <a:gd name="connsiteY36" fmla="*/ 6992686 h 7007051"/>
            <a:gd name="connsiteX0" fmla="*/ 12900 w 4639719"/>
            <a:gd name="connsiteY0" fmla="*/ 6992686 h 7007051"/>
            <a:gd name="connsiteX1" fmla="*/ 12900 w 4639719"/>
            <a:gd name="connsiteY1" fmla="*/ 2611187 h 7007051"/>
            <a:gd name="connsiteX2" fmla="*/ 4000 w 4639719"/>
            <a:gd name="connsiteY2" fmla="*/ 1239764 h 7007051"/>
            <a:gd name="connsiteX3" fmla="*/ 4000 w 4639719"/>
            <a:gd name="connsiteY3" fmla="*/ 17389 h 7007051"/>
            <a:gd name="connsiteX4" fmla="*/ 1632181 w 4639719"/>
            <a:gd name="connsiteY4" fmla="*/ 0 h 7007051"/>
            <a:gd name="connsiteX5" fmla="*/ 1644235 w 4639719"/>
            <a:gd name="connsiteY5" fmla="*/ 654878 h 7007051"/>
            <a:gd name="connsiteX6" fmla="*/ 1721297 w 4639719"/>
            <a:gd name="connsiteY6" fmla="*/ 795713 h 7007051"/>
            <a:gd name="connsiteX7" fmla="*/ 1632323 w 4639719"/>
            <a:gd name="connsiteY7" fmla="*/ 960913 h 7007051"/>
            <a:gd name="connsiteX8" fmla="*/ 1555131 w 4639719"/>
            <a:gd name="connsiteY8" fmla="*/ 1525409 h 7007051"/>
            <a:gd name="connsiteX9" fmla="*/ 984682 w 4639719"/>
            <a:gd name="connsiteY9" fmla="*/ 2014444 h 7007051"/>
            <a:gd name="connsiteX10" fmla="*/ 976716 w 4639719"/>
            <a:gd name="connsiteY10" fmla="*/ 2666392 h 7007051"/>
            <a:gd name="connsiteX11" fmla="*/ 1173829 w 4639719"/>
            <a:gd name="connsiteY11" fmla="*/ 2883923 h 7007051"/>
            <a:gd name="connsiteX12" fmla="*/ 1464579 w 4639719"/>
            <a:gd name="connsiteY12" fmla="*/ 3073361 h 7007051"/>
            <a:gd name="connsiteX13" fmla="*/ 1858486 w 4639719"/>
            <a:gd name="connsiteY13" fmla="*/ 3154588 h 7007051"/>
            <a:gd name="connsiteX14" fmla="*/ 2351038 w 4639719"/>
            <a:gd name="connsiteY14" fmla="*/ 3092904 h 7007051"/>
            <a:gd name="connsiteX15" fmla="*/ 2665910 w 4639719"/>
            <a:gd name="connsiteY15" fmla="*/ 2983079 h 7007051"/>
            <a:gd name="connsiteX16" fmla="*/ 2760372 w 4639719"/>
            <a:gd name="connsiteY16" fmla="*/ 3175274 h 7007051"/>
            <a:gd name="connsiteX17" fmla="*/ 2550152 w 4639719"/>
            <a:gd name="connsiteY17" fmla="*/ 3369679 h 7007051"/>
            <a:gd name="connsiteX18" fmla="*/ 2893037 w 4639719"/>
            <a:gd name="connsiteY18" fmla="*/ 3554559 h 7007051"/>
            <a:gd name="connsiteX19" fmla="*/ 3356020 w 4639719"/>
            <a:gd name="connsiteY19" fmla="*/ 3741583 h 7007051"/>
            <a:gd name="connsiteX20" fmla="*/ 3383911 w 4639719"/>
            <a:gd name="connsiteY20" fmla="*/ 4018854 h 7007051"/>
            <a:gd name="connsiteX21" fmla="*/ 3611651 w 4639719"/>
            <a:gd name="connsiteY21" fmla="*/ 4189085 h 7007051"/>
            <a:gd name="connsiteX22" fmla="*/ 3562243 w 4639719"/>
            <a:gd name="connsiteY22" fmla="*/ 4462626 h 7007051"/>
            <a:gd name="connsiteX23" fmla="*/ 3467805 w 4639719"/>
            <a:gd name="connsiteY23" fmla="*/ 4661583 h 7007051"/>
            <a:gd name="connsiteX24" fmla="*/ 3668060 w 4639719"/>
            <a:gd name="connsiteY24" fmla="*/ 4707646 h 7007051"/>
            <a:gd name="connsiteX25" fmla="*/ 3745746 w 4639719"/>
            <a:gd name="connsiteY25" fmla="*/ 4860605 h 7007051"/>
            <a:gd name="connsiteX26" fmla="*/ 3719012 w 4639719"/>
            <a:gd name="connsiteY26" fmla="*/ 5046272 h 7007051"/>
            <a:gd name="connsiteX27" fmla="*/ 4083088 w 4639719"/>
            <a:gd name="connsiteY27" fmla="*/ 5180238 h 7007051"/>
            <a:gd name="connsiteX28" fmla="*/ 4117263 w 4639719"/>
            <a:gd name="connsiteY28" fmla="*/ 5383001 h 7007051"/>
            <a:gd name="connsiteX29" fmla="*/ 4312130 w 4639719"/>
            <a:gd name="connsiteY29" fmla="*/ 5401041 h 7007051"/>
            <a:gd name="connsiteX30" fmla="*/ 4230117 w 4639719"/>
            <a:gd name="connsiteY30" fmla="*/ 5601929 h 7007051"/>
            <a:gd name="connsiteX31" fmla="*/ 4511503 w 4639719"/>
            <a:gd name="connsiteY31" fmla="*/ 5532287 h 7007051"/>
            <a:gd name="connsiteX32" fmla="*/ 4432449 w 4639719"/>
            <a:gd name="connsiteY32" fmla="*/ 5753106 h 7007051"/>
            <a:gd name="connsiteX33" fmla="*/ 4231606 w 4639719"/>
            <a:gd name="connsiteY33" fmla="*/ 5803898 h 7007051"/>
            <a:gd name="connsiteX34" fmla="*/ 3861533 w 4639719"/>
            <a:gd name="connsiteY34" fmla="*/ 6384094 h 7007051"/>
            <a:gd name="connsiteX35" fmla="*/ 4454205 w 4639719"/>
            <a:gd name="connsiteY35" fmla="*/ 7007051 h 7007051"/>
            <a:gd name="connsiteX36" fmla="*/ 12900 w 4639719"/>
            <a:gd name="connsiteY36" fmla="*/ 6992686 h 7007051"/>
            <a:gd name="connsiteX0" fmla="*/ 12900 w 4639719"/>
            <a:gd name="connsiteY0" fmla="*/ 6992686 h 7007051"/>
            <a:gd name="connsiteX1" fmla="*/ 12900 w 4639719"/>
            <a:gd name="connsiteY1" fmla="*/ 2611187 h 7007051"/>
            <a:gd name="connsiteX2" fmla="*/ 4000 w 4639719"/>
            <a:gd name="connsiteY2" fmla="*/ 1239764 h 7007051"/>
            <a:gd name="connsiteX3" fmla="*/ 4000 w 4639719"/>
            <a:gd name="connsiteY3" fmla="*/ 17389 h 7007051"/>
            <a:gd name="connsiteX4" fmla="*/ 1632181 w 4639719"/>
            <a:gd name="connsiteY4" fmla="*/ 0 h 7007051"/>
            <a:gd name="connsiteX5" fmla="*/ 1644235 w 4639719"/>
            <a:gd name="connsiteY5" fmla="*/ 654878 h 7007051"/>
            <a:gd name="connsiteX6" fmla="*/ 1721297 w 4639719"/>
            <a:gd name="connsiteY6" fmla="*/ 795713 h 7007051"/>
            <a:gd name="connsiteX7" fmla="*/ 1632323 w 4639719"/>
            <a:gd name="connsiteY7" fmla="*/ 960913 h 7007051"/>
            <a:gd name="connsiteX8" fmla="*/ 1555131 w 4639719"/>
            <a:gd name="connsiteY8" fmla="*/ 1525409 h 7007051"/>
            <a:gd name="connsiteX9" fmla="*/ 984682 w 4639719"/>
            <a:gd name="connsiteY9" fmla="*/ 2014444 h 7007051"/>
            <a:gd name="connsiteX10" fmla="*/ 976716 w 4639719"/>
            <a:gd name="connsiteY10" fmla="*/ 2666392 h 7007051"/>
            <a:gd name="connsiteX11" fmla="*/ 1173829 w 4639719"/>
            <a:gd name="connsiteY11" fmla="*/ 2883923 h 7007051"/>
            <a:gd name="connsiteX12" fmla="*/ 1464579 w 4639719"/>
            <a:gd name="connsiteY12" fmla="*/ 3073361 h 7007051"/>
            <a:gd name="connsiteX13" fmla="*/ 1858486 w 4639719"/>
            <a:gd name="connsiteY13" fmla="*/ 3154588 h 7007051"/>
            <a:gd name="connsiteX14" fmla="*/ 2351038 w 4639719"/>
            <a:gd name="connsiteY14" fmla="*/ 3092904 h 7007051"/>
            <a:gd name="connsiteX15" fmla="*/ 2665910 w 4639719"/>
            <a:gd name="connsiteY15" fmla="*/ 2983079 h 7007051"/>
            <a:gd name="connsiteX16" fmla="*/ 2760372 w 4639719"/>
            <a:gd name="connsiteY16" fmla="*/ 3175274 h 7007051"/>
            <a:gd name="connsiteX17" fmla="*/ 2550152 w 4639719"/>
            <a:gd name="connsiteY17" fmla="*/ 3369679 h 7007051"/>
            <a:gd name="connsiteX18" fmla="*/ 2893037 w 4639719"/>
            <a:gd name="connsiteY18" fmla="*/ 3554559 h 7007051"/>
            <a:gd name="connsiteX19" fmla="*/ 3356020 w 4639719"/>
            <a:gd name="connsiteY19" fmla="*/ 3741583 h 7007051"/>
            <a:gd name="connsiteX20" fmla="*/ 3383911 w 4639719"/>
            <a:gd name="connsiteY20" fmla="*/ 4018854 h 7007051"/>
            <a:gd name="connsiteX21" fmla="*/ 3611651 w 4639719"/>
            <a:gd name="connsiteY21" fmla="*/ 4189085 h 7007051"/>
            <a:gd name="connsiteX22" fmla="*/ 3562243 w 4639719"/>
            <a:gd name="connsiteY22" fmla="*/ 4462626 h 7007051"/>
            <a:gd name="connsiteX23" fmla="*/ 3467805 w 4639719"/>
            <a:gd name="connsiteY23" fmla="*/ 4661583 h 7007051"/>
            <a:gd name="connsiteX24" fmla="*/ 3668060 w 4639719"/>
            <a:gd name="connsiteY24" fmla="*/ 4707646 h 7007051"/>
            <a:gd name="connsiteX25" fmla="*/ 3745746 w 4639719"/>
            <a:gd name="connsiteY25" fmla="*/ 4860605 h 7007051"/>
            <a:gd name="connsiteX26" fmla="*/ 3719012 w 4639719"/>
            <a:gd name="connsiteY26" fmla="*/ 5046272 h 7007051"/>
            <a:gd name="connsiteX27" fmla="*/ 4083088 w 4639719"/>
            <a:gd name="connsiteY27" fmla="*/ 5180238 h 7007051"/>
            <a:gd name="connsiteX28" fmla="*/ 4117263 w 4639719"/>
            <a:gd name="connsiteY28" fmla="*/ 5383001 h 7007051"/>
            <a:gd name="connsiteX29" fmla="*/ 4312130 w 4639719"/>
            <a:gd name="connsiteY29" fmla="*/ 5401041 h 7007051"/>
            <a:gd name="connsiteX30" fmla="*/ 4230117 w 4639719"/>
            <a:gd name="connsiteY30" fmla="*/ 5601929 h 7007051"/>
            <a:gd name="connsiteX31" fmla="*/ 4406546 w 4639719"/>
            <a:gd name="connsiteY31" fmla="*/ 5587200 h 7007051"/>
            <a:gd name="connsiteX32" fmla="*/ 4432449 w 4639719"/>
            <a:gd name="connsiteY32" fmla="*/ 5753106 h 7007051"/>
            <a:gd name="connsiteX33" fmla="*/ 4231606 w 4639719"/>
            <a:gd name="connsiteY33" fmla="*/ 5803898 h 7007051"/>
            <a:gd name="connsiteX34" fmla="*/ 3861533 w 4639719"/>
            <a:gd name="connsiteY34" fmla="*/ 6384094 h 7007051"/>
            <a:gd name="connsiteX35" fmla="*/ 4454205 w 4639719"/>
            <a:gd name="connsiteY35" fmla="*/ 7007051 h 7007051"/>
            <a:gd name="connsiteX36" fmla="*/ 12900 w 4639719"/>
            <a:gd name="connsiteY36" fmla="*/ 6992686 h 7007051"/>
            <a:gd name="connsiteX0" fmla="*/ 12900 w 4652506"/>
            <a:gd name="connsiteY0" fmla="*/ 6992686 h 7007051"/>
            <a:gd name="connsiteX1" fmla="*/ 12900 w 4652506"/>
            <a:gd name="connsiteY1" fmla="*/ 2611187 h 7007051"/>
            <a:gd name="connsiteX2" fmla="*/ 4000 w 4652506"/>
            <a:gd name="connsiteY2" fmla="*/ 1239764 h 7007051"/>
            <a:gd name="connsiteX3" fmla="*/ 4000 w 4652506"/>
            <a:gd name="connsiteY3" fmla="*/ 17389 h 7007051"/>
            <a:gd name="connsiteX4" fmla="*/ 1632181 w 4652506"/>
            <a:gd name="connsiteY4" fmla="*/ 0 h 7007051"/>
            <a:gd name="connsiteX5" fmla="*/ 1644235 w 4652506"/>
            <a:gd name="connsiteY5" fmla="*/ 654878 h 7007051"/>
            <a:gd name="connsiteX6" fmla="*/ 1721297 w 4652506"/>
            <a:gd name="connsiteY6" fmla="*/ 795713 h 7007051"/>
            <a:gd name="connsiteX7" fmla="*/ 1632323 w 4652506"/>
            <a:gd name="connsiteY7" fmla="*/ 960913 h 7007051"/>
            <a:gd name="connsiteX8" fmla="*/ 1555131 w 4652506"/>
            <a:gd name="connsiteY8" fmla="*/ 1525409 h 7007051"/>
            <a:gd name="connsiteX9" fmla="*/ 984682 w 4652506"/>
            <a:gd name="connsiteY9" fmla="*/ 2014444 h 7007051"/>
            <a:gd name="connsiteX10" fmla="*/ 976716 w 4652506"/>
            <a:gd name="connsiteY10" fmla="*/ 2666392 h 7007051"/>
            <a:gd name="connsiteX11" fmla="*/ 1173829 w 4652506"/>
            <a:gd name="connsiteY11" fmla="*/ 2883923 h 7007051"/>
            <a:gd name="connsiteX12" fmla="*/ 1464579 w 4652506"/>
            <a:gd name="connsiteY12" fmla="*/ 3073361 h 7007051"/>
            <a:gd name="connsiteX13" fmla="*/ 1858486 w 4652506"/>
            <a:gd name="connsiteY13" fmla="*/ 3154588 h 7007051"/>
            <a:gd name="connsiteX14" fmla="*/ 2351038 w 4652506"/>
            <a:gd name="connsiteY14" fmla="*/ 3092904 h 7007051"/>
            <a:gd name="connsiteX15" fmla="*/ 2665910 w 4652506"/>
            <a:gd name="connsiteY15" fmla="*/ 2983079 h 7007051"/>
            <a:gd name="connsiteX16" fmla="*/ 2760372 w 4652506"/>
            <a:gd name="connsiteY16" fmla="*/ 3175274 h 7007051"/>
            <a:gd name="connsiteX17" fmla="*/ 2550152 w 4652506"/>
            <a:gd name="connsiteY17" fmla="*/ 3369679 h 7007051"/>
            <a:gd name="connsiteX18" fmla="*/ 2893037 w 4652506"/>
            <a:gd name="connsiteY18" fmla="*/ 3554559 h 7007051"/>
            <a:gd name="connsiteX19" fmla="*/ 3356020 w 4652506"/>
            <a:gd name="connsiteY19" fmla="*/ 3741583 h 7007051"/>
            <a:gd name="connsiteX20" fmla="*/ 3383911 w 4652506"/>
            <a:gd name="connsiteY20" fmla="*/ 4018854 h 7007051"/>
            <a:gd name="connsiteX21" fmla="*/ 3611651 w 4652506"/>
            <a:gd name="connsiteY21" fmla="*/ 4189085 h 7007051"/>
            <a:gd name="connsiteX22" fmla="*/ 3562243 w 4652506"/>
            <a:gd name="connsiteY22" fmla="*/ 4462626 h 7007051"/>
            <a:gd name="connsiteX23" fmla="*/ 3467805 w 4652506"/>
            <a:gd name="connsiteY23" fmla="*/ 4661583 h 7007051"/>
            <a:gd name="connsiteX24" fmla="*/ 3668060 w 4652506"/>
            <a:gd name="connsiteY24" fmla="*/ 4707646 h 7007051"/>
            <a:gd name="connsiteX25" fmla="*/ 3745746 w 4652506"/>
            <a:gd name="connsiteY25" fmla="*/ 4860605 h 7007051"/>
            <a:gd name="connsiteX26" fmla="*/ 3719012 w 4652506"/>
            <a:gd name="connsiteY26" fmla="*/ 5046272 h 7007051"/>
            <a:gd name="connsiteX27" fmla="*/ 4083088 w 4652506"/>
            <a:gd name="connsiteY27" fmla="*/ 5180238 h 7007051"/>
            <a:gd name="connsiteX28" fmla="*/ 4117263 w 4652506"/>
            <a:gd name="connsiteY28" fmla="*/ 5383001 h 7007051"/>
            <a:gd name="connsiteX29" fmla="*/ 4312130 w 4652506"/>
            <a:gd name="connsiteY29" fmla="*/ 5401041 h 7007051"/>
            <a:gd name="connsiteX30" fmla="*/ 4230117 w 4652506"/>
            <a:gd name="connsiteY30" fmla="*/ 5601929 h 7007051"/>
            <a:gd name="connsiteX31" fmla="*/ 4406546 w 4652506"/>
            <a:gd name="connsiteY31" fmla="*/ 5587200 h 7007051"/>
            <a:gd name="connsiteX32" fmla="*/ 4432449 w 4652506"/>
            <a:gd name="connsiteY32" fmla="*/ 5753106 h 7007051"/>
            <a:gd name="connsiteX33" fmla="*/ 4231606 w 4652506"/>
            <a:gd name="connsiteY33" fmla="*/ 5803898 h 7007051"/>
            <a:gd name="connsiteX34" fmla="*/ 3966490 w 4652506"/>
            <a:gd name="connsiteY34" fmla="*/ 6384095 h 7007051"/>
            <a:gd name="connsiteX35" fmla="*/ 4454205 w 4652506"/>
            <a:gd name="connsiteY35" fmla="*/ 7007051 h 7007051"/>
            <a:gd name="connsiteX36" fmla="*/ 12900 w 4652506"/>
            <a:gd name="connsiteY36" fmla="*/ 6992686 h 7007051"/>
            <a:gd name="connsiteX0" fmla="*/ 12900 w 4652506"/>
            <a:gd name="connsiteY0" fmla="*/ 6992686 h 7007051"/>
            <a:gd name="connsiteX1" fmla="*/ 12900 w 4652506"/>
            <a:gd name="connsiteY1" fmla="*/ 2611187 h 7007051"/>
            <a:gd name="connsiteX2" fmla="*/ 4000 w 4652506"/>
            <a:gd name="connsiteY2" fmla="*/ 1239764 h 7007051"/>
            <a:gd name="connsiteX3" fmla="*/ 4000 w 4652506"/>
            <a:gd name="connsiteY3" fmla="*/ 17389 h 7007051"/>
            <a:gd name="connsiteX4" fmla="*/ 1632181 w 4652506"/>
            <a:gd name="connsiteY4" fmla="*/ 0 h 7007051"/>
            <a:gd name="connsiteX5" fmla="*/ 1644235 w 4652506"/>
            <a:gd name="connsiteY5" fmla="*/ 654878 h 7007051"/>
            <a:gd name="connsiteX6" fmla="*/ 1721297 w 4652506"/>
            <a:gd name="connsiteY6" fmla="*/ 795713 h 7007051"/>
            <a:gd name="connsiteX7" fmla="*/ 1632323 w 4652506"/>
            <a:gd name="connsiteY7" fmla="*/ 960913 h 7007051"/>
            <a:gd name="connsiteX8" fmla="*/ 1555131 w 4652506"/>
            <a:gd name="connsiteY8" fmla="*/ 1525409 h 7007051"/>
            <a:gd name="connsiteX9" fmla="*/ 984682 w 4652506"/>
            <a:gd name="connsiteY9" fmla="*/ 2014444 h 7007051"/>
            <a:gd name="connsiteX10" fmla="*/ 976716 w 4652506"/>
            <a:gd name="connsiteY10" fmla="*/ 2666392 h 7007051"/>
            <a:gd name="connsiteX11" fmla="*/ 1173829 w 4652506"/>
            <a:gd name="connsiteY11" fmla="*/ 2883923 h 7007051"/>
            <a:gd name="connsiteX12" fmla="*/ 1464579 w 4652506"/>
            <a:gd name="connsiteY12" fmla="*/ 3073361 h 7007051"/>
            <a:gd name="connsiteX13" fmla="*/ 1858486 w 4652506"/>
            <a:gd name="connsiteY13" fmla="*/ 3154588 h 7007051"/>
            <a:gd name="connsiteX14" fmla="*/ 2382525 w 4652506"/>
            <a:gd name="connsiteY14" fmla="*/ 3211882 h 7007051"/>
            <a:gd name="connsiteX15" fmla="*/ 2665910 w 4652506"/>
            <a:gd name="connsiteY15" fmla="*/ 2983079 h 7007051"/>
            <a:gd name="connsiteX16" fmla="*/ 2760372 w 4652506"/>
            <a:gd name="connsiteY16" fmla="*/ 3175274 h 7007051"/>
            <a:gd name="connsiteX17" fmla="*/ 2550152 w 4652506"/>
            <a:gd name="connsiteY17" fmla="*/ 3369679 h 7007051"/>
            <a:gd name="connsiteX18" fmla="*/ 2893037 w 4652506"/>
            <a:gd name="connsiteY18" fmla="*/ 3554559 h 7007051"/>
            <a:gd name="connsiteX19" fmla="*/ 3356020 w 4652506"/>
            <a:gd name="connsiteY19" fmla="*/ 3741583 h 7007051"/>
            <a:gd name="connsiteX20" fmla="*/ 3383911 w 4652506"/>
            <a:gd name="connsiteY20" fmla="*/ 4018854 h 7007051"/>
            <a:gd name="connsiteX21" fmla="*/ 3611651 w 4652506"/>
            <a:gd name="connsiteY21" fmla="*/ 4189085 h 7007051"/>
            <a:gd name="connsiteX22" fmla="*/ 3562243 w 4652506"/>
            <a:gd name="connsiteY22" fmla="*/ 4462626 h 7007051"/>
            <a:gd name="connsiteX23" fmla="*/ 3467805 w 4652506"/>
            <a:gd name="connsiteY23" fmla="*/ 4661583 h 7007051"/>
            <a:gd name="connsiteX24" fmla="*/ 3668060 w 4652506"/>
            <a:gd name="connsiteY24" fmla="*/ 4707646 h 7007051"/>
            <a:gd name="connsiteX25" fmla="*/ 3745746 w 4652506"/>
            <a:gd name="connsiteY25" fmla="*/ 4860605 h 7007051"/>
            <a:gd name="connsiteX26" fmla="*/ 3719012 w 4652506"/>
            <a:gd name="connsiteY26" fmla="*/ 5046272 h 7007051"/>
            <a:gd name="connsiteX27" fmla="*/ 4083088 w 4652506"/>
            <a:gd name="connsiteY27" fmla="*/ 5180238 h 7007051"/>
            <a:gd name="connsiteX28" fmla="*/ 4117263 w 4652506"/>
            <a:gd name="connsiteY28" fmla="*/ 5383001 h 7007051"/>
            <a:gd name="connsiteX29" fmla="*/ 4312130 w 4652506"/>
            <a:gd name="connsiteY29" fmla="*/ 5401041 h 7007051"/>
            <a:gd name="connsiteX30" fmla="*/ 4230117 w 4652506"/>
            <a:gd name="connsiteY30" fmla="*/ 5601929 h 7007051"/>
            <a:gd name="connsiteX31" fmla="*/ 4406546 w 4652506"/>
            <a:gd name="connsiteY31" fmla="*/ 5587200 h 7007051"/>
            <a:gd name="connsiteX32" fmla="*/ 4432449 w 4652506"/>
            <a:gd name="connsiteY32" fmla="*/ 5753106 h 7007051"/>
            <a:gd name="connsiteX33" fmla="*/ 4231606 w 4652506"/>
            <a:gd name="connsiteY33" fmla="*/ 5803898 h 7007051"/>
            <a:gd name="connsiteX34" fmla="*/ 3966490 w 4652506"/>
            <a:gd name="connsiteY34" fmla="*/ 6384095 h 7007051"/>
            <a:gd name="connsiteX35" fmla="*/ 4454205 w 4652506"/>
            <a:gd name="connsiteY35" fmla="*/ 7007051 h 7007051"/>
            <a:gd name="connsiteX36" fmla="*/ 12900 w 4652506"/>
            <a:gd name="connsiteY36" fmla="*/ 6992686 h 7007051"/>
            <a:gd name="connsiteX0" fmla="*/ 12900 w 4652506"/>
            <a:gd name="connsiteY0" fmla="*/ 6992686 h 7007051"/>
            <a:gd name="connsiteX1" fmla="*/ 12900 w 4652506"/>
            <a:gd name="connsiteY1" fmla="*/ 2611187 h 7007051"/>
            <a:gd name="connsiteX2" fmla="*/ 4000 w 4652506"/>
            <a:gd name="connsiteY2" fmla="*/ 1239764 h 7007051"/>
            <a:gd name="connsiteX3" fmla="*/ 4000 w 4652506"/>
            <a:gd name="connsiteY3" fmla="*/ 17389 h 7007051"/>
            <a:gd name="connsiteX4" fmla="*/ 1632181 w 4652506"/>
            <a:gd name="connsiteY4" fmla="*/ 0 h 7007051"/>
            <a:gd name="connsiteX5" fmla="*/ 1644235 w 4652506"/>
            <a:gd name="connsiteY5" fmla="*/ 654878 h 7007051"/>
            <a:gd name="connsiteX6" fmla="*/ 1721297 w 4652506"/>
            <a:gd name="connsiteY6" fmla="*/ 795713 h 7007051"/>
            <a:gd name="connsiteX7" fmla="*/ 1632323 w 4652506"/>
            <a:gd name="connsiteY7" fmla="*/ 960913 h 7007051"/>
            <a:gd name="connsiteX8" fmla="*/ 1555131 w 4652506"/>
            <a:gd name="connsiteY8" fmla="*/ 1525409 h 7007051"/>
            <a:gd name="connsiteX9" fmla="*/ 984682 w 4652506"/>
            <a:gd name="connsiteY9" fmla="*/ 2014444 h 7007051"/>
            <a:gd name="connsiteX10" fmla="*/ 976716 w 4652506"/>
            <a:gd name="connsiteY10" fmla="*/ 2666392 h 7007051"/>
            <a:gd name="connsiteX11" fmla="*/ 1173829 w 4652506"/>
            <a:gd name="connsiteY11" fmla="*/ 2883923 h 7007051"/>
            <a:gd name="connsiteX12" fmla="*/ 1464579 w 4652506"/>
            <a:gd name="connsiteY12" fmla="*/ 3073361 h 7007051"/>
            <a:gd name="connsiteX13" fmla="*/ 1858486 w 4652506"/>
            <a:gd name="connsiteY13" fmla="*/ 3154588 h 7007051"/>
            <a:gd name="connsiteX14" fmla="*/ 2382525 w 4652506"/>
            <a:gd name="connsiteY14" fmla="*/ 3211882 h 7007051"/>
            <a:gd name="connsiteX15" fmla="*/ 2665910 w 4652506"/>
            <a:gd name="connsiteY15" fmla="*/ 2983079 h 7007051"/>
            <a:gd name="connsiteX16" fmla="*/ 2760372 w 4652506"/>
            <a:gd name="connsiteY16" fmla="*/ 3175274 h 7007051"/>
            <a:gd name="connsiteX17" fmla="*/ 2550152 w 4652506"/>
            <a:gd name="connsiteY17" fmla="*/ 3369679 h 7007051"/>
            <a:gd name="connsiteX18" fmla="*/ 2893037 w 4652506"/>
            <a:gd name="connsiteY18" fmla="*/ 3554559 h 7007051"/>
            <a:gd name="connsiteX19" fmla="*/ 3356020 w 4652506"/>
            <a:gd name="connsiteY19" fmla="*/ 3741583 h 7007051"/>
            <a:gd name="connsiteX20" fmla="*/ 3383911 w 4652506"/>
            <a:gd name="connsiteY20" fmla="*/ 4018854 h 7007051"/>
            <a:gd name="connsiteX21" fmla="*/ 3611651 w 4652506"/>
            <a:gd name="connsiteY21" fmla="*/ 4189085 h 7007051"/>
            <a:gd name="connsiteX22" fmla="*/ 3562243 w 4652506"/>
            <a:gd name="connsiteY22" fmla="*/ 4462626 h 7007051"/>
            <a:gd name="connsiteX23" fmla="*/ 3467805 w 4652506"/>
            <a:gd name="connsiteY23" fmla="*/ 4661583 h 7007051"/>
            <a:gd name="connsiteX24" fmla="*/ 3668060 w 4652506"/>
            <a:gd name="connsiteY24" fmla="*/ 4707646 h 7007051"/>
            <a:gd name="connsiteX25" fmla="*/ 3745746 w 4652506"/>
            <a:gd name="connsiteY25" fmla="*/ 4860605 h 7007051"/>
            <a:gd name="connsiteX26" fmla="*/ 3719012 w 4652506"/>
            <a:gd name="connsiteY26" fmla="*/ 5046272 h 7007051"/>
            <a:gd name="connsiteX27" fmla="*/ 4083088 w 4652506"/>
            <a:gd name="connsiteY27" fmla="*/ 5180238 h 7007051"/>
            <a:gd name="connsiteX28" fmla="*/ 4117263 w 4652506"/>
            <a:gd name="connsiteY28" fmla="*/ 5383001 h 7007051"/>
            <a:gd name="connsiteX29" fmla="*/ 4312130 w 4652506"/>
            <a:gd name="connsiteY29" fmla="*/ 5401041 h 7007051"/>
            <a:gd name="connsiteX30" fmla="*/ 4230117 w 4652506"/>
            <a:gd name="connsiteY30" fmla="*/ 5601929 h 7007051"/>
            <a:gd name="connsiteX31" fmla="*/ 4406546 w 4652506"/>
            <a:gd name="connsiteY31" fmla="*/ 5587200 h 7007051"/>
            <a:gd name="connsiteX32" fmla="*/ 4432449 w 4652506"/>
            <a:gd name="connsiteY32" fmla="*/ 5753106 h 7007051"/>
            <a:gd name="connsiteX33" fmla="*/ 4231606 w 4652506"/>
            <a:gd name="connsiteY33" fmla="*/ 5803898 h 7007051"/>
            <a:gd name="connsiteX34" fmla="*/ 3966490 w 4652506"/>
            <a:gd name="connsiteY34" fmla="*/ 6384095 h 7007051"/>
            <a:gd name="connsiteX35" fmla="*/ 4454205 w 4652506"/>
            <a:gd name="connsiteY35" fmla="*/ 7007051 h 7007051"/>
            <a:gd name="connsiteX36" fmla="*/ 12900 w 4652506"/>
            <a:gd name="connsiteY36" fmla="*/ 6992686 h 7007051"/>
            <a:gd name="connsiteX0" fmla="*/ 12900 w 4652506"/>
            <a:gd name="connsiteY0" fmla="*/ 6992686 h 7007051"/>
            <a:gd name="connsiteX1" fmla="*/ 12900 w 4652506"/>
            <a:gd name="connsiteY1" fmla="*/ 2611187 h 7007051"/>
            <a:gd name="connsiteX2" fmla="*/ 4000 w 4652506"/>
            <a:gd name="connsiteY2" fmla="*/ 1239764 h 7007051"/>
            <a:gd name="connsiteX3" fmla="*/ 4000 w 4652506"/>
            <a:gd name="connsiteY3" fmla="*/ 17389 h 7007051"/>
            <a:gd name="connsiteX4" fmla="*/ 1632181 w 4652506"/>
            <a:gd name="connsiteY4" fmla="*/ 0 h 7007051"/>
            <a:gd name="connsiteX5" fmla="*/ 1644235 w 4652506"/>
            <a:gd name="connsiteY5" fmla="*/ 654878 h 7007051"/>
            <a:gd name="connsiteX6" fmla="*/ 1721297 w 4652506"/>
            <a:gd name="connsiteY6" fmla="*/ 795713 h 7007051"/>
            <a:gd name="connsiteX7" fmla="*/ 1632323 w 4652506"/>
            <a:gd name="connsiteY7" fmla="*/ 960913 h 7007051"/>
            <a:gd name="connsiteX8" fmla="*/ 1555131 w 4652506"/>
            <a:gd name="connsiteY8" fmla="*/ 1525409 h 7007051"/>
            <a:gd name="connsiteX9" fmla="*/ 984682 w 4652506"/>
            <a:gd name="connsiteY9" fmla="*/ 2014444 h 7007051"/>
            <a:gd name="connsiteX10" fmla="*/ 976716 w 4652506"/>
            <a:gd name="connsiteY10" fmla="*/ 2666392 h 7007051"/>
            <a:gd name="connsiteX11" fmla="*/ 1173829 w 4652506"/>
            <a:gd name="connsiteY11" fmla="*/ 2883923 h 7007051"/>
            <a:gd name="connsiteX12" fmla="*/ 1464579 w 4652506"/>
            <a:gd name="connsiteY12" fmla="*/ 3073361 h 7007051"/>
            <a:gd name="connsiteX13" fmla="*/ 1858486 w 4652506"/>
            <a:gd name="connsiteY13" fmla="*/ 3227806 h 7007051"/>
            <a:gd name="connsiteX14" fmla="*/ 2382525 w 4652506"/>
            <a:gd name="connsiteY14" fmla="*/ 3211882 h 7007051"/>
            <a:gd name="connsiteX15" fmla="*/ 2665910 w 4652506"/>
            <a:gd name="connsiteY15" fmla="*/ 2983079 h 7007051"/>
            <a:gd name="connsiteX16" fmla="*/ 2760372 w 4652506"/>
            <a:gd name="connsiteY16" fmla="*/ 3175274 h 7007051"/>
            <a:gd name="connsiteX17" fmla="*/ 2550152 w 4652506"/>
            <a:gd name="connsiteY17" fmla="*/ 3369679 h 7007051"/>
            <a:gd name="connsiteX18" fmla="*/ 2893037 w 4652506"/>
            <a:gd name="connsiteY18" fmla="*/ 3554559 h 7007051"/>
            <a:gd name="connsiteX19" fmla="*/ 3356020 w 4652506"/>
            <a:gd name="connsiteY19" fmla="*/ 3741583 h 7007051"/>
            <a:gd name="connsiteX20" fmla="*/ 3383911 w 4652506"/>
            <a:gd name="connsiteY20" fmla="*/ 4018854 h 7007051"/>
            <a:gd name="connsiteX21" fmla="*/ 3611651 w 4652506"/>
            <a:gd name="connsiteY21" fmla="*/ 4189085 h 7007051"/>
            <a:gd name="connsiteX22" fmla="*/ 3562243 w 4652506"/>
            <a:gd name="connsiteY22" fmla="*/ 4462626 h 7007051"/>
            <a:gd name="connsiteX23" fmla="*/ 3467805 w 4652506"/>
            <a:gd name="connsiteY23" fmla="*/ 4661583 h 7007051"/>
            <a:gd name="connsiteX24" fmla="*/ 3668060 w 4652506"/>
            <a:gd name="connsiteY24" fmla="*/ 4707646 h 7007051"/>
            <a:gd name="connsiteX25" fmla="*/ 3745746 w 4652506"/>
            <a:gd name="connsiteY25" fmla="*/ 4860605 h 7007051"/>
            <a:gd name="connsiteX26" fmla="*/ 3719012 w 4652506"/>
            <a:gd name="connsiteY26" fmla="*/ 5046272 h 7007051"/>
            <a:gd name="connsiteX27" fmla="*/ 4083088 w 4652506"/>
            <a:gd name="connsiteY27" fmla="*/ 5180238 h 7007051"/>
            <a:gd name="connsiteX28" fmla="*/ 4117263 w 4652506"/>
            <a:gd name="connsiteY28" fmla="*/ 5383001 h 7007051"/>
            <a:gd name="connsiteX29" fmla="*/ 4312130 w 4652506"/>
            <a:gd name="connsiteY29" fmla="*/ 5401041 h 7007051"/>
            <a:gd name="connsiteX30" fmla="*/ 4230117 w 4652506"/>
            <a:gd name="connsiteY30" fmla="*/ 5601929 h 7007051"/>
            <a:gd name="connsiteX31" fmla="*/ 4406546 w 4652506"/>
            <a:gd name="connsiteY31" fmla="*/ 5587200 h 7007051"/>
            <a:gd name="connsiteX32" fmla="*/ 4432449 w 4652506"/>
            <a:gd name="connsiteY32" fmla="*/ 5753106 h 7007051"/>
            <a:gd name="connsiteX33" fmla="*/ 4231606 w 4652506"/>
            <a:gd name="connsiteY33" fmla="*/ 5803898 h 7007051"/>
            <a:gd name="connsiteX34" fmla="*/ 3966490 w 4652506"/>
            <a:gd name="connsiteY34" fmla="*/ 6384095 h 7007051"/>
            <a:gd name="connsiteX35" fmla="*/ 4454205 w 4652506"/>
            <a:gd name="connsiteY35" fmla="*/ 7007051 h 7007051"/>
            <a:gd name="connsiteX36" fmla="*/ 12900 w 4652506"/>
            <a:gd name="connsiteY36" fmla="*/ 6992686 h 7007051"/>
            <a:gd name="connsiteX0" fmla="*/ 12900 w 4652506"/>
            <a:gd name="connsiteY0" fmla="*/ 6992686 h 7007051"/>
            <a:gd name="connsiteX1" fmla="*/ 12900 w 4652506"/>
            <a:gd name="connsiteY1" fmla="*/ 2611187 h 7007051"/>
            <a:gd name="connsiteX2" fmla="*/ 4000 w 4652506"/>
            <a:gd name="connsiteY2" fmla="*/ 1239764 h 7007051"/>
            <a:gd name="connsiteX3" fmla="*/ 4000 w 4652506"/>
            <a:gd name="connsiteY3" fmla="*/ 17389 h 7007051"/>
            <a:gd name="connsiteX4" fmla="*/ 1632181 w 4652506"/>
            <a:gd name="connsiteY4" fmla="*/ 0 h 7007051"/>
            <a:gd name="connsiteX5" fmla="*/ 1644235 w 4652506"/>
            <a:gd name="connsiteY5" fmla="*/ 654878 h 7007051"/>
            <a:gd name="connsiteX6" fmla="*/ 1721297 w 4652506"/>
            <a:gd name="connsiteY6" fmla="*/ 795713 h 7007051"/>
            <a:gd name="connsiteX7" fmla="*/ 1632323 w 4652506"/>
            <a:gd name="connsiteY7" fmla="*/ 960913 h 7007051"/>
            <a:gd name="connsiteX8" fmla="*/ 1555131 w 4652506"/>
            <a:gd name="connsiteY8" fmla="*/ 1525409 h 7007051"/>
            <a:gd name="connsiteX9" fmla="*/ 984682 w 4652506"/>
            <a:gd name="connsiteY9" fmla="*/ 2014444 h 7007051"/>
            <a:gd name="connsiteX10" fmla="*/ 976716 w 4652506"/>
            <a:gd name="connsiteY10" fmla="*/ 2666392 h 7007051"/>
            <a:gd name="connsiteX11" fmla="*/ 1173829 w 4652506"/>
            <a:gd name="connsiteY11" fmla="*/ 2883923 h 7007051"/>
            <a:gd name="connsiteX12" fmla="*/ 1358243 w 4652506"/>
            <a:gd name="connsiteY12" fmla="*/ 3023561 h 7007051"/>
            <a:gd name="connsiteX13" fmla="*/ 1858486 w 4652506"/>
            <a:gd name="connsiteY13" fmla="*/ 3227806 h 7007051"/>
            <a:gd name="connsiteX14" fmla="*/ 2382525 w 4652506"/>
            <a:gd name="connsiteY14" fmla="*/ 3211882 h 7007051"/>
            <a:gd name="connsiteX15" fmla="*/ 2665910 w 4652506"/>
            <a:gd name="connsiteY15" fmla="*/ 2983079 h 7007051"/>
            <a:gd name="connsiteX16" fmla="*/ 2760372 w 4652506"/>
            <a:gd name="connsiteY16" fmla="*/ 3175274 h 7007051"/>
            <a:gd name="connsiteX17" fmla="*/ 2550152 w 4652506"/>
            <a:gd name="connsiteY17" fmla="*/ 3369679 h 7007051"/>
            <a:gd name="connsiteX18" fmla="*/ 2893037 w 4652506"/>
            <a:gd name="connsiteY18" fmla="*/ 3554559 h 7007051"/>
            <a:gd name="connsiteX19" fmla="*/ 3356020 w 4652506"/>
            <a:gd name="connsiteY19" fmla="*/ 3741583 h 7007051"/>
            <a:gd name="connsiteX20" fmla="*/ 3383911 w 4652506"/>
            <a:gd name="connsiteY20" fmla="*/ 4018854 h 7007051"/>
            <a:gd name="connsiteX21" fmla="*/ 3611651 w 4652506"/>
            <a:gd name="connsiteY21" fmla="*/ 4189085 h 7007051"/>
            <a:gd name="connsiteX22" fmla="*/ 3562243 w 4652506"/>
            <a:gd name="connsiteY22" fmla="*/ 4462626 h 7007051"/>
            <a:gd name="connsiteX23" fmla="*/ 3467805 w 4652506"/>
            <a:gd name="connsiteY23" fmla="*/ 4661583 h 7007051"/>
            <a:gd name="connsiteX24" fmla="*/ 3668060 w 4652506"/>
            <a:gd name="connsiteY24" fmla="*/ 4707646 h 7007051"/>
            <a:gd name="connsiteX25" fmla="*/ 3745746 w 4652506"/>
            <a:gd name="connsiteY25" fmla="*/ 4860605 h 7007051"/>
            <a:gd name="connsiteX26" fmla="*/ 3719012 w 4652506"/>
            <a:gd name="connsiteY26" fmla="*/ 5046272 h 7007051"/>
            <a:gd name="connsiteX27" fmla="*/ 4083088 w 4652506"/>
            <a:gd name="connsiteY27" fmla="*/ 5180238 h 7007051"/>
            <a:gd name="connsiteX28" fmla="*/ 4117263 w 4652506"/>
            <a:gd name="connsiteY28" fmla="*/ 5383001 h 7007051"/>
            <a:gd name="connsiteX29" fmla="*/ 4312130 w 4652506"/>
            <a:gd name="connsiteY29" fmla="*/ 5401041 h 7007051"/>
            <a:gd name="connsiteX30" fmla="*/ 4230117 w 4652506"/>
            <a:gd name="connsiteY30" fmla="*/ 5601929 h 7007051"/>
            <a:gd name="connsiteX31" fmla="*/ 4406546 w 4652506"/>
            <a:gd name="connsiteY31" fmla="*/ 5587200 h 7007051"/>
            <a:gd name="connsiteX32" fmla="*/ 4432449 w 4652506"/>
            <a:gd name="connsiteY32" fmla="*/ 5753106 h 7007051"/>
            <a:gd name="connsiteX33" fmla="*/ 4231606 w 4652506"/>
            <a:gd name="connsiteY33" fmla="*/ 5803898 h 7007051"/>
            <a:gd name="connsiteX34" fmla="*/ 3966490 w 4652506"/>
            <a:gd name="connsiteY34" fmla="*/ 6384095 h 7007051"/>
            <a:gd name="connsiteX35" fmla="*/ 4454205 w 4652506"/>
            <a:gd name="connsiteY35" fmla="*/ 7007051 h 7007051"/>
            <a:gd name="connsiteX36" fmla="*/ 12900 w 4652506"/>
            <a:gd name="connsiteY36" fmla="*/ 6992686 h 7007051"/>
            <a:gd name="connsiteX0" fmla="*/ 12900 w 4652506"/>
            <a:gd name="connsiteY0" fmla="*/ 6992686 h 7007051"/>
            <a:gd name="connsiteX1" fmla="*/ 12900 w 4652506"/>
            <a:gd name="connsiteY1" fmla="*/ 2611187 h 7007051"/>
            <a:gd name="connsiteX2" fmla="*/ 4000 w 4652506"/>
            <a:gd name="connsiteY2" fmla="*/ 1239764 h 7007051"/>
            <a:gd name="connsiteX3" fmla="*/ 4000 w 4652506"/>
            <a:gd name="connsiteY3" fmla="*/ 17389 h 7007051"/>
            <a:gd name="connsiteX4" fmla="*/ 1632181 w 4652506"/>
            <a:gd name="connsiteY4" fmla="*/ 0 h 7007051"/>
            <a:gd name="connsiteX5" fmla="*/ 1644235 w 4652506"/>
            <a:gd name="connsiteY5" fmla="*/ 654878 h 7007051"/>
            <a:gd name="connsiteX6" fmla="*/ 1721297 w 4652506"/>
            <a:gd name="connsiteY6" fmla="*/ 795713 h 7007051"/>
            <a:gd name="connsiteX7" fmla="*/ 1632323 w 4652506"/>
            <a:gd name="connsiteY7" fmla="*/ 960913 h 7007051"/>
            <a:gd name="connsiteX8" fmla="*/ 1555131 w 4652506"/>
            <a:gd name="connsiteY8" fmla="*/ 1525409 h 7007051"/>
            <a:gd name="connsiteX9" fmla="*/ 984682 w 4652506"/>
            <a:gd name="connsiteY9" fmla="*/ 2014444 h 7007051"/>
            <a:gd name="connsiteX10" fmla="*/ 976716 w 4652506"/>
            <a:gd name="connsiteY10" fmla="*/ 2666392 h 7007051"/>
            <a:gd name="connsiteX11" fmla="*/ 1173829 w 4652506"/>
            <a:gd name="connsiteY11" fmla="*/ 2883923 h 7007051"/>
            <a:gd name="connsiteX12" fmla="*/ 1358243 w 4652506"/>
            <a:gd name="connsiteY12" fmla="*/ 3023561 h 7007051"/>
            <a:gd name="connsiteX13" fmla="*/ 1595047 w 4652506"/>
            <a:gd name="connsiteY13" fmla="*/ 3144507 h 7007051"/>
            <a:gd name="connsiteX14" fmla="*/ 1858486 w 4652506"/>
            <a:gd name="connsiteY14" fmla="*/ 3227806 h 7007051"/>
            <a:gd name="connsiteX15" fmla="*/ 2382525 w 4652506"/>
            <a:gd name="connsiteY15" fmla="*/ 3211882 h 7007051"/>
            <a:gd name="connsiteX16" fmla="*/ 2665910 w 4652506"/>
            <a:gd name="connsiteY16" fmla="*/ 2983079 h 7007051"/>
            <a:gd name="connsiteX17" fmla="*/ 2760372 w 4652506"/>
            <a:gd name="connsiteY17" fmla="*/ 3175274 h 7007051"/>
            <a:gd name="connsiteX18" fmla="*/ 2550152 w 4652506"/>
            <a:gd name="connsiteY18" fmla="*/ 3369679 h 7007051"/>
            <a:gd name="connsiteX19" fmla="*/ 2893037 w 4652506"/>
            <a:gd name="connsiteY19" fmla="*/ 3554559 h 7007051"/>
            <a:gd name="connsiteX20" fmla="*/ 3356020 w 4652506"/>
            <a:gd name="connsiteY20" fmla="*/ 3741583 h 7007051"/>
            <a:gd name="connsiteX21" fmla="*/ 3383911 w 4652506"/>
            <a:gd name="connsiteY21" fmla="*/ 4018854 h 7007051"/>
            <a:gd name="connsiteX22" fmla="*/ 3611651 w 4652506"/>
            <a:gd name="connsiteY22" fmla="*/ 4189085 h 7007051"/>
            <a:gd name="connsiteX23" fmla="*/ 3562243 w 4652506"/>
            <a:gd name="connsiteY23" fmla="*/ 4462626 h 7007051"/>
            <a:gd name="connsiteX24" fmla="*/ 3467805 w 4652506"/>
            <a:gd name="connsiteY24" fmla="*/ 4661583 h 7007051"/>
            <a:gd name="connsiteX25" fmla="*/ 3668060 w 4652506"/>
            <a:gd name="connsiteY25" fmla="*/ 4707646 h 7007051"/>
            <a:gd name="connsiteX26" fmla="*/ 3745746 w 4652506"/>
            <a:gd name="connsiteY26" fmla="*/ 4860605 h 7007051"/>
            <a:gd name="connsiteX27" fmla="*/ 3719012 w 4652506"/>
            <a:gd name="connsiteY27" fmla="*/ 5046272 h 7007051"/>
            <a:gd name="connsiteX28" fmla="*/ 4083088 w 4652506"/>
            <a:gd name="connsiteY28" fmla="*/ 5180238 h 7007051"/>
            <a:gd name="connsiteX29" fmla="*/ 4117263 w 4652506"/>
            <a:gd name="connsiteY29" fmla="*/ 5383001 h 7007051"/>
            <a:gd name="connsiteX30" fmla="*/ 4312130 w 4652506"/>
            <a:gd name="connsiteY30" fmla="*/ 5401041 h 7007051"/>
            <a:gd name="connsiteX31" fmla="*/ 4230117 w 4652506"/>
            <a:gd name="connsiteY31" fmla="*/ 5601929 h 7007051"/>
            <a:gd name="connsiteX32" fmla="*/ 4406546 w 4652506"/>
            <a:gd name="connsiteY32" fmla="*/ 5587200 h 7007051"/>
            <a:gd name="connsiteX33" fmla="*/ 4432449 w 4652506"/>
            <a:gd name="connsiteY33" fmla="*/ 5753106 h 7007051"/>
            <a:gd name="connsiteX34" fmla="*/ 4231606 w 4652506"/>
            <a:gd name="connsiteY34" fmla="*/ 5803898 h 7007051"/>
            <a:gd name="connsiteX35" fmla="*/ 3966490 w 4652506"/>
            <a:gd name="connsiteY35" fmla="*/ 6384095 h 7007051"/>
            <a:gd name="connsiteX36" fmla="*/ 4454205 w 4652506"/>
            <a:gd name="connsiteY36" fmla="*/ 7007051 h 7007051"/>
            <a:gd name="connsiteX37" fmla="*/ 12900 w 4652506"/>
            <a:gd name="connsiteY37" fmla="*/ 6992686 h 7007051"/>
            <a:gd name="connsiteX0" fmla="*/ 12900 w 4652506"/>
            <a:gd name="connsiteY0" fmla="*/ 6992686 h 7007051"/>
            <a:gd name="connsiteX1" fmla="*/ 12900 w 4652506"/>
            <a:gd name="connsiteY1" fmla="*/ 2611187 h 7007051"/>
            <a:gd name="connsiteX2" fmla="*/ 4000 w 4652506"/>
            <a:gd name="connsiteY2" fmla="*/ 1239764 h 7007051"/>
            <a:gd name="connsiteX3" fmla="*/ 4000 w 4652506"/>
            <a:gd name="connsiteY3" fmla="*/ 17389 h 7007051"/>
            <a:gd name="connsiteX4" fmla="*/ 1632181 w 4652506"/>
            <a:gd name="connsiteY4" fmla="*/ 0 h 7007051"/>
            <a:gd name="connsiteX5" fmla="*/ 1644235 w 4652506"/>
            <a:gd name="connsiteY5" fmla="*/ 654878 h 7007051"/>
            <a:gd name="connsiteX6" fmla="*/ 1721297 w 4652506"/>
            <a:gd name="connsiteY6" fmla="*/ 795713 h 7007051"/>
            <a:gd name="connsiteX7" fmla="*/ 1632323 w 4652506"/>
            <a:gd name="connsiteY7" fmla="*/ 960913 h 7007051"/>
            <a:gd name="connsiteX8" fmla="*/ 1555131 w 4652506"/>
            <a:gd name="connsiteY8" fmla="*/ 1525409 h 7007051"/>
            <a:gd name="connsiteX9" fmla="*/ 984682 w 4652506"/>
            <a:gd name="connsiteY9" fmla="*/ 2014444 h 7007051"/>
            <a:gd name="connsiteX10" fmla="*/ 976716 w 4652506"/>
            <a:gd name="connsiteY10" fmla="*/ 2666392 h 7007051"/>
            <a:gd name="connsiteX11" fmla="*/ 1173829 w 4652506"/>
            <a:gd name="connsiteY11" fmla="*/ 2883923 h 7007051"/>
            <a:gd name="connsiteX12" fmla="*/ 1358243 w 4652506"/>
            <a:gd name="connsiteY12" fmla="*/ 3023561 h 7007051"/>
            <a:gd name="connsiteX13" fmla="*/ 1595047 w 4652506"/>
            <a:gd name="connsiteY13" fmla="*/ 3144507 h 7007051"/>
            <a:gd name="connsiteX14" fmla="*/ 1858486 w 4652506"/>
            <a:gd name="connsiteY14" fmla="*/ 3227806 h 7007051"/>
            <a:gd name="connsiteX15" fmla="*/ 2382525 w 4652506"/>
            <a:gd name="connsiteY15" fmla="*/ 3211882 h 7007051"/>
            <a:gd name="connsiteX16" fmla="*/ 2665910 w 4652506"/>
            <a:gd name="connsiteY16" fmla="*/ 2983079 h 7007051"/>
            <a:gd name="connsiteX17" fmla="*/ 2760372 w 4652506"/>
            <a:gd name="connsiteY17" fmla="*/ 3175274 h 7007051"/>
            <a:gd name="connsiteX18" fmla="*/ 2550152 w 4652506"/>
            <a:gd name="connsiteY18" fmla="*/ 3369679 h 7007051"/>
            <a:gd name="connsiteX19" fmla="*/ 2893037 w 4652506"/>
            <a:gd name="connsiteY19" fmla="*/ 3554559 h 7007051"/>
            <a:gd name="connsiteX20" fmla="*/ 3356020 w 4652506"/>
            <a:gd name="connsiteY20" fmla="*/ 3741583 h 7007051"/>
            <a:gd name="connsiteX21" fmla="*/ 3383911 w 4652506"/>
            <a:gd name="connsiteY21" fmla="*/ 4018854 h 7007051"/>
            <a:gd name="connsiteX22" fmla="*/ 3611651 w 4652506"/>
            <a:gd name="connsiteY22" fmla="*/ 4189085 h 7007051"/>
            <a:gd name="connsiteX23" fmla="*/ 3562243 w 4652506"/>
            <a:gd name="connsiteY23" fmla="*/ 4462626 h 7007051"/>
            <a:gd name="connsiteX24" fmla="*/ 3467805 w 4652506"/>
            <a:gd name="connsiteY24" fmla="*/ 4661583 h 7007051"/>
            <a:gd name="connsiteX25" fmla="*/ 3668060 w 4652506"/>
            <a:gd name="connsiteY25" fmla="*/ 4707646 h 7007051"/>
            <a:gd name="connsiteX26" fmla="*/ 3745746 w 4652506"/>
            <a:gd name="connsiteY26" fmla="*/ 4860605 h 7007051"/>
            <a:gd name="connsiteX27" fmla="*/ 3719012 w 4652506"/>
            <a:gd name="connsiteY27" fmla="*/ 5046272 h 7007051"/>
            <a:gd name="connsiteX28" fmla="*/ 4083088 w 4652506"/>
            <a:gd name="connsiteY28" fmla="*/ 5180238 h 7007051"/>
            <a:gd name="connsiteX29" fmla="*/ 4117263 w 4652506"/>
            <a:gd name="connsiteY29" fmla="*/ 5383001 h 7007051"/>
            <a:gd name="connsiteX30" fmla="*/ 4312130 w 4652506"/>
            <a:gd name="connsiteY30" fmla="*/ 5401041 h 7007051"/>
            <a:gd name="connsiteX31" fmla="*/ 4230117 w 4652506"/>
            <a:gd name="connsiteY31" fmla="*/ 5601929 h 7007051"/>
            <a:gd name="connsiteX32" fmla="*/ 4406546 w 4652506"/>
            <a:gd name="connsiteY32" fmla="*/ 5587200 h 7007051"/>
            <a:gd name="connsiteX33" fmla="*/ 4432449 w 4652506"/>
            <a:gd name="connsiteY33" fmla="*/ 5753106 h 7007051"/>
            <a:gd name="connsiteX34" fmla="*/ 4231606 w 4652506"/>
            <a:gd name="connsiteY34" fmla="*/ 5803898 h 7007051"/>
            <a:gd name="connsiteX35" fmla="*/ 3966490 w 4652506"/>
            <a:gd name="connsiteY35" fmla="*/ 6384095 h 7007051"/>
            <a:gd name="connsiteX36" fmla="*/ 4454205 w 4652506"/>
            <a:gd name="connsiteY36" fmla="*/ 7007051 h 7007051"/>
            <a:gd name="connsiteX37" fmla="*/ 12900 w 4652506"/>
            <a:gd name="connsiteY37" fmla="*/ 6992686 h 7007051"/>
            <a:gd name="connsiteX0" fmla="*/ 12900 w 4652506"/>
            <a:gd name="connsiteY0" fmla="*/ 6992686 h 7007051"/>
            <a:gd name="connsiteX1" fmla="*/ 12900 w 4652506"/>
            <a:gd name="connsiteY1" fmla="*/ 2611187 h 7007051"/>
            <a:gd name="connsiteX2" fmla="*/ 4000 w 4652506"/>
            <a:gd name="connsiteY2" fmla="*/ 1239764 h 7007051"/>
            <a:gd name="connsiteX3" fmla="*/ 4000 w 4652506"/>
            <a:gd name="connsiteY3" fmla="*/ 17389 h 7007051"/>
            <a:gd name="connsiteX4" fmla="*/ 1632181 w 4652506"/>
            <a:gd name="connsiteY4" fmla="*/ 0 h 7007051"/>
            <a:gd name="connsiteX5" fmla="*/ 1644235 w 4652506"/>
            <a:gd name="connsiteY5" fmla="*/ 654878 h 7007051"/>
            <a:gd name="connsiteX6" fmla="*/ 1721297 w 4652506"/>
            <a:gd name="connsiteY6" fmla="*/ 795713 h 7007051"/>
            <a:gd name="connsiteX7" fmla="*/ 1632323 w 4652506"/>
            <a:gd name="connsiteY7" fmla="*/ 960913 h 7007051"/>
            <a:gd name="connsiteX8" fmla="*/ 1555131 w 4652506"/>
            <a:gd name="connsiteY8" fmla="*/ 1525409 h 7007051"/>
            <a:gd name="connsiteX9" fmla="*/ 984682 w 4652506"/>
            <a:gd name="connsiteY9" fmla="*/ 2014444 h 7007051"/>
            <a:gd name="connsiteX10" fmla="*/ 976716 w 4652506"/>
            <a:gd name="connsiteY10" fmla="*/ 2666392 h 7007051"/>
            <a:gd name="connsiteX11" fmla="*/ 1173829 w 4652506"/>
            <a:gd name="connsiteY11" fmla="*/ 2883923 h 7007051"/>
            <a:gd name="connsiteX12" fmla="*/ 1358243 w 4652506"/>
            <a:gd name="connsiteY12" fmla="*/ 3023561 h 7007051"/>
            <a:gd name="connsiteX13" fmla="*/ 1595047 w 4652506"/>
            <a:gd name="connsiteY13" fmla="*/ 3144507 h 7007051"/>
            <a:gd name="connsiteX14" fmla="*/ 1858486 w 4652506"/>
            <a:gd name="connsiteY14" fmla="*/ 3227806 h 7007051"/>
            <a:gd name="connsiteX15" fmla="*/ 2382525 w 4652506"/>
            <a:gd name="connsiteY15" fmla="*/ 3211882 h 7007051"/>
            <a:gd name="connsiteX16" fmla="*/ 2665910 w 4652506"/>
            <a:gd name="connsiteY16" fmla="*/ 2983079 h 7007051"/>
            <a:gd name="connsiteX17" fmla="*/ 2760372 w 4652506"/>
            <a:gd name="connsiteY17" fmla="*/ 3175274 h 7007051"/>
            <a:gd name="connsiteX18" fmla="*/ 2550152 w 4652506"/>
            <a:gd name="connsiteY18" fmla="*/ 3369679 h 7007051"/>
            <a:gd name="connsiteX19" fmla="*/ 2893037 w 4652506"/>
            <a:gd name="connsiteY19" fmla="*/ 3554559 h 7007051"/>
            <a:gd name="connsiteX20" fmla="*/ 3356020 w 4652506"/>
            <a:gd name="connsiteY20" fmla="*/ 3741583 h 7007051"/>
            <a:gd name="connsiteX21" fmla="*/ 3383911 w 4652506"/>
            <a:gd name="connsiteY21" fmla="*/ 4018854 h 7007051"/>
            <a:gd name="connsiteX22" fmla="*/ 3611651 w 4652506"/>
            <a:gd name="connsiteY22" fmla="*/ 4189085 h 7007051"/>
            <a:gd name="connsiteX23" fmla="*/ 3562243 w 4652506"/>
            <a:gd name="connsiteY23" fmla="*/ 4462626 h 7007051"/>
            <a:gd name="connsiteX24" fmla="*/ 3467805 w 4652506"/>
            <a:gd name="connsiteY24" fmla="*/ 4661583 h 7007051"/>
            <a:gd name="connsiteX25" fmla="*/ 3668060 w 4652506"/>
            <a:gd name="connsiteY25" fmla="*/ 4707646 h 7007051"/>
            <a:gd name="connsiteX26" fmla="*/ 3745746 w 4652506"/>
            <a:gd name="connsiteY26" fmla="*/ 4860605 h 7007051"/>
            <a:gd name="connsiteX27" fmla="*/ 3719012 w 4652506"/>
            <a:gd name="connsiteY27" fmla="*/ 5046272 h 7007051"/>
            <a:gd name="connsiteX28" fmla="*/ 4083088 w 4652506"/>
            <a:gd name="connsiteY28" fmla="*/ 5180238 h 7007051"/>
            <a:gd name="connsiteX29" fmla="*/ 4117263 w 4652506"/>
            <a:gd name="connsiteY29" fmla="*/ 5383001 h 7007051"/>
            <a:gd name="connsiteX30" fmla="*/ 4312130 w 4652506"/>
            <a:gd name="connsiteY30" fmla="*/ 5401041 h 7007051"/>
            <a:gd name="connsiteX31" fmla="*/ 4230117 w 4652506"/>
            <a:gd name="connsiteY31" fmla="*/ 5601929 h 7007051"/>
            <a:gd name="connsiteX32" fmla="*/ 4406546 w 4652506"/>
            <a:gd name="connsiteY32" fmla="*/ 5587200 h 7007051"/>
            <a:gd name="connsiteX33" fmla="*/ 4432449 w 4652506"/>
            <a:gd name="connsiteY33" fmla="*/ 5753106 h 7007051"/>
            <a:gd name="connsiteX34" fmla="*/ 4231606 w 4652506"/>
            <a:gd name="connsiteY34" fmla="*/ 5803898 h 7007051"/>
            <a:gd name="connsiteX35" fmla="*/ 3966490 w 4652506"/>
            <a:gd name="connsiteY35" fmla="*/ 6384095 h 7007051"/>
            <a:gd name="connsiteX36" fmla="*/ 4454205 w 4652506"/>
            <a:gd name="connsiteY36" fmla="*/ 7007051 h 7007051"/>
            <a:gd name="connsiteX37" fmla="*/ 12900 w 4652506"/>
            <a:gd name="connsiteY37" fmla="*/ 6992686 h 7007051"/>
            <a:gd name="connsiteX0" fmla="*/ 12900 w 4652506"/>
            <a:gd name="connsiteY0" fmla="*/ 6992686 h 7007051"/>
            <a:gd name="connsiteX1" fmla="*/ 12900 w 4652506"/>
            <a:gd name="connsiteY1" fmla="*/ 2611187 h 7007051"/>
            <a:gd name="connsiteX2" fmla="*/ 4000 w 4652506"/>
            <a:gd name="connsiteY2" fmla="*/ 1239764 h 7007051"/>
            <a:gd name="connsiteX3" fmla="*/ 4000 w 4652506"/>
            <a:gd name="connsiteY3" fmla="*/ 17389 h 7007051"/>
            <a:gd name="connsiteX4" fmla="*/ 1632181 w 4652506"/>
            <a:gd name="connsiteY4" fmla="*/ 0 h 7007051"/>
            <a:gd name="connsiteX5" fmla="*/ 1644235 w 4652506"/>
            <a:gd name="connsiteY5" fmla="*/ 654878 h 7007051"/>
            <a:gd name="connsiteX6" fmla="*/ 1721297 w 4652506"/>
            <a:gd name="connsiteY6" fmla="*/ 795713 h 7007051"/>
            <a:gd name="connsiteX7" fmla="*/ 1632323 w 4652506"/>
            <a:gd name="connsiteY7" fmla="*/ 960913 h 7007051"/>
            <a:gd name="connsiteX8" fmla="*/ 1555131 w 4652506"/>
            <a:gd name="connsiteY8" fmla="*/ 1525409 h 7007051"/>
            <a:gd name="connsiteX9" fmla="*/ 984682 w 4652506"/>
            <a:gd name="connsiteY9" fmla="*/ 2014444 h 7007051"/>
            <a:gd name="connsiteX10" fmla="*/ 976716 w 4652506"/>
            <a:gd name="connsiteY10" fmla="*/ 2666392 h 7007051"/>
            <a:gd name="connsiteX11" fmla="*/ 1173829 w 4652506"/>
            <a:gd name="connsiteY11" fmla="*/ 2883923 h 7007051"/>
            <a:gd name="connsiteX12" fmla="*/ 1358243 w 4652506"/>
            <a:gd name="connsiteY12" fmla="*/ 3023561 h 7007051"/>
            <a:gd name="connsiteX13" fmla="*/ 1595047 w 4652506"/>
            <a:gd name="connsiteY13" fmla="*/ 3144507 h 7007051"/>
            <a:gd name="connsiteX14" fmla="*/ 1868152 w 4652506"/>
            <a:gd name="connsiteY14" fmla="*/ 3269307 h 7007051"/>
            <a:gd name="connsiteX15" fmla="*/ 2382525 w 4652506"/>
            <a:gd name="connsiteY15" fmla="*/ 3211882 h 7007051"/>
            <a:gd name="connsiteX16" fmla="*/ 2665910 w 4652506"/>
            <a:gd name="connsiteY16" fmla="*/ 2983079 h 7007051"/>
            <a:gd name="connsiteX17" fmla="*/ 2760372 w 4652506"/>
            <a:gd name="connsiteY17" fmla="*/ 3175274 h 7007051"/>
            <a:gd name="connsiteX18" fmla="*/ 2550152 w 4652506"/>
            <a:gd name="connsiteY18" fmla="*/ 3369679 h 7007051"/>
            <a:gd name="connsiteX19" fmla="*/ 2893037 w 4652506"/>
            <a:gd name="connsiteY19" fmla="*/ 3554559 h 7007051"/>
            <a:gd name="connsiteX20" fmla="*/ 3356020 w 4652506"/>
            <a:gd name="connsiteY20" fmla="*/ 3741583 h 7007051"/>
            <a:gd name="connsiteX21" fmla="*/ 3383911 w 4652506"/>
            <a:gd name="connsiteY21" fmla="*/ 4018854 h 7007051"/>
            <a:gd name="connsiteX22" fmla="*/ 3611651 w 4652506"/>
            <a:gd name="connsiteY22" fmla="*/ 4189085 h 7007051"/>
            <a:gd name="connsiteX23" fmla="*/ 3562243 w 4652506"/>
            <a:gd name="connsiteY23" fmla="*/ 4462626 h 7007051"/>
            <a:gd name="connsiteX24" fmla="*/ 3467805 w 4652506"/>
            <a:gd name="connsiteY24" fmla="*/ 4661583 h 7007051"/>
            <a:gd name="connsiteX25" fmla="*/ 3668060 w 4652506"/>
            <a:gd name="connsiteY25" fmla="*/ 4707646 h 7007051"/>
            <a:gd name="connsiteX26" fmla="*/ 3745746 w 4652506"/>
            <a:gd name="connsiteY26" fmla="*/ 4860605 h 7007051"/>
            <a:gd name="connsiteX27" fmla="*/ 3719012 w 4652506"/>
            <a:gd name="connsiteY27" fmla="*/ 5046272 h 7007051"/>
            <a:gd name="connsiteX28" fmla="*/ 4083088 w 4652506"/>
            <a:gd name="connsiteY28" fmla="*/ 5180238 h 7007051"/>
            <a:gd name="connsiteX29" fmla="*/ 4117263 w 4652506"/>
            <a:gd name="connsiteY29" fmla="*/ 5383001 h 7007051"/>
            <a:gd name="connsiteX30" fmla="*/ 4312130 w 4652506"/>
            <a:gd name="connsiteY30" fmla="*/ 5401041 h 7007051"/>
            <a:gd name="connsiteX31" fmla="*/ 4230117 w 4652506"/>
            <a:gd name="connsiteY31" fmla="*/ 5601929 h 7007051"/>
            <a:gd name="connsiteX32" fmla="*/ 4406546 w 4652506"/>
            <a:gd name="connsiteY32" fmla="*/ 5587200 h 7007051"/>
            <a:gd name="connsiteX33" fmla="*/ 4432449 w 4652506"/>
            <a:gd name="connsiteY33" fmla="*/ 5753106 h 7007051"/>
            <a:gd name="connsiteX34" fmla="*/ 4231606 w 4652506"/>
            <a:gd name="connsiteY34" fmla="*/ 5803898 h 7007051"/>
            <a:gd name="connsiteX35" fmla="*/ 3966490 w 4652506"/>
            <a:gd name="connsiteY35" fmla="*/ 6384095 h 7007051"/>
            <a:gd name="connsiteX36" fmla="*/ 4454205 w 4652506"/>
            <a:gd name="connsiteY36" fmla="*/ 7007051 h 7007051"/>
            <a:gd name="connsiteX37" fmla="*/ 12900 w 4652506"/>
            <a:gd name="connsiteY37" fmla="*/ 6992686 h 7007051"/>
            <a:gd name="connsiteX0" fmla="*/ 12900 w 4652506"/>
            <a:gd name="connsiteY0" fmla="*/ 6992686 h 7007051"/>
            <a:gd name="connsiteX1" fmla="*/ 12900 w 4652506"/>
            <a:gd name="connsiteY1" fmla="*/ 2611187 h 7007051"/>
            <a:gd name="connsiteX2" fmla="*/ 4000 w 4652506"/>
            <a:gd name="connsiteY2" fmla="*/ 1239764 h 7007051"/>
            <a:gd name="connsiteX3" fmla="*/ 4000 w 4652506"/>
            <a:gd name="connsiteY3" fmla="*/ 17389 h 7007051"/>
            <a:gd name="connsiteX4" fmla="*/ 1632181 w 4652506"/>
            <a:gd name="connsiteY4" fmla="*/ 0 h 7007051"/>
            <a:gd name="connsiteX5" fmla="*/ 1644235 w 4652506"/>
            <a:gd name="connsiteY5" fmla="*/ 654878 h 7007051"/>
            <a:gd name="connsiteX6" fmla="*/ 1721297 w 4652506"/>
            <a:gd name="connsiteY6" fmla="*/ 795713 h 7007051"/>
            <a:gd name="connsiteX7" fmla="*/ 1632323 w 4652506"/>
            <a:gd name="connsiteY7" fmla="*/ 960913 h 7007051"/>
            <a:gd name="connsiteX8" fmla="*/ 1555131 w 4652506"/>
            <a:gd name="connsiteY8" fmla="*/ 1525409 h 7007051"/>
            <a:gd name="connsiteX9" fmla="*/ 984682 w 4652506"/>
            <a:gd name="connsiteY9" fmla="*/ 2014444 h 7007051"/>
            <a:gd name="connsiteX10" fmla="*/ 1034717 w 4652506"/>
            <a:gd name="connsiteY10" fmla="*/ 2674692 h 7007051"/>
            <a:gd name="connsiteX11" fmla="*/ 1173829 w 4652506"/>
            <a:gd name="connsiteY11" fmla="*/ 2883923 h 7007051"/>
            <a:gd name="connsiteX12" fmla="*/ 1358243 w 4652506"/>
            <a:gd name="connsiteY12" fmla="*/ 3023561 h 7007051"/>
            <a:gd name="connsiteX13" fmla="*/ 1595047 w 4652506"/>
            <a:gd name="connsiteY13" fmla="*/ 3144507 h 7007051"/>
            <a:gd name="connsiteX14" fmla="*/ 1868152 w 4652506"/>
            <a:gd name="connsiteY14" fmla="*/ 3269307 h 7007051"/>
            <a:gd name="connsiteX15" fmla="*/ 2382525 w 4652506"/>
            <a:gd name="connsiteY15" fmla="*/ 3211882 h 7007051"/>
            <a:gd name="connsiteX16" fmla="*/ 2665910 w 4652506"/>
            <a:gd name="connsiteY16" fmla="*/ 2983079 h 7007051"/>
            <a:gd name="connsiteX17" fmla="*/ 2760372 w 4652506"/>
            <a:gd name="connsiteY17" fmla="*/ 3175274 h 7007051"/>
            <a:gd name="connsiteX18" fmla="*/ 2550152 w 4652506"/>
            <a:gd name="connsiteY18" fmla="*/ 3369679 h 7007051"/>
            <a:gd name="connsiteX19" fmla="*/ 2893037 w 4652506"/>
            <a:gd name="connsiteY19" fmla="*/ 3554559 h 7007051"/>
            <a:gd name="connsiteX20" fmla="*/ 3356020 w 4652506"/>
            <a:gd name="connsiteY20" fmla="*/ 3741583 h 7007051"/>
            <a:gd name="connsiteX21" fmla="*/ 3383911 w 4652506"/>
            <a:gd name="connsiteY21" fmla="*/ 4018854 h 7007051"/>
            <a:gd name="connsiteX22" fmla="*/ 3611651 w 4652506"/>
            <a:gd name="connsiteY22" fmla="*/ 4189085 h 7007051"/>
            <a:gd name="connsiteX23" fmla="*/ 3562243 w 4652506"/>
            <a:gd name="connsiteY23" fmla="*/ 4462626 h 7007051"/>
            <a:gd name="connsiteX24" fmla="*/ 3467805 w 4652506"/>
            <a:gd name="connsiteY24" fmla="*/ 4661583 h 7007051"/>
            <a:gd name="connsiteX25" fmla="*/ 3668060 w 4652506"/>
            <a:gd name="connsiteY25" fmla="*/ 4707646 h 7007051"/>
            <a:gd name="connsiteX26" fmla="*/ 3745746 w 4652506"/>
            <a:gd name="connsiteY26" fmla="*/ 4860605 h 7007051"/>
            <a:gd name="connsiteX27" fmla="*/ 3719012 w 4652506"/>
            <a:gd name="connsiteY27" fmla="*/ 5046272 h 7007051"/>
            <a:gd name="connsiteX28" fmla="*/ 4083088 w 4652506"/>
            <a:gd name="connsiteY28" fmla="*/ 5180238 h 7007051"/>
            <a:gd name="connsiteX29" fmla="*/ 4117263 w 4652506"/>
            <a:gd name="connsiteY29" fmla="*/ 5383001 h 7007051"/>
            <a:gd name="connsiteX30" fmla="*/ 4312130 w 4652506"/>
            <a:gd name="connsiteY30" fmla="*/ 5401041 h 7007051"/>
            <a:gd name="connsiteX31" fmla="*/ 4230117 w 4652506"/>
            <a:gd name="connsiteY31" fmla="*/ 5601929 h 7007051"/>
            <a:gd name="connsiteX32" fmla="*/ 4406546 w 4652506"/>
            <a:gd name="connsiteY32" fmla="*/ 5587200 h 7007051"/>
            <a:gd name="connsiteX33" fmla="*/ 4432449 w 4652506"/>
            <a:gd name="connsiteY33" fmla="*/ 5753106 h 7007051"/>
            <a:gd name="connsiteX34" fmla="*/ 4231606 w 4652506"/>
            <a:gd name="connsiteY34" fmla="*/ 5803898 h 7007051"/>
            <a:gd name="connsiteX35" fmla="*/ 3966490 w 4652506"/>
            <a:gd name="connsiteY35" fmla="*/ 6384095 h 7007051"/>
            <a:gd name="connsiteX36" fmla="*/ 4454205 w 4652506"/>
            <a:gd name="connsiteY36" fmla="*/ 7007051 h 7007051"/>
            <a:gd name="connsiteX37" fmla="*/ 12900 w 4652506"/>
            <a:gd name="connsiteY37" fmla="*/ 6992686 h 7007051"/>
            <a:gd name="connsiteX0" fmla="*/ 12900 w 4652506"/>
            <a:gd name="connsiteY0" fmla="*/ 6992686 h 7007051"/>
            <a:gd name="connsiteX1" fmla="*/ 12900 w 4652506"/>
            <a:gd name="connsiteY1" fmla="*/ 2611187 h 7007051"/>
            <a:gd name="connsiteX2" fmla="*/ 4000 w 4652506"/>
            <a:gd name="connsiteY2" fmla="*/ 1239764 h 7007051"/>
            <a:gd name="connsiteX3" fmla="*/ 4000 w 4652506"/>
            <a:gd name="connsiteY3" fmla="*/ 17389 h 7007051"/>
            <a:gd name="connsiteX4" fmla="*/ 1632181 w 4652506"/>
            <a:gd name="connsiteY4" fmla="*/ 0 h 7007051"/>
            <a:gd name="connsiteX5" fmla="*/ 1644235 w 4652506"/>
            <a:gd name="connsiteY5" fmla="*/ 654878 h 7007051"/>
            <a:gd name="connsiteX6" fmla="*/ 1721297 w 4652506"/>
            <a:gd name="connsiteY6" fmla="*/ 795713 h 7007051"/>
            <a:gd name="connsiteX7" fmla="*/ 1632323 w 4652506"/>
            <a:gd name="connsiteY7" fmla="*/ 960913 h 7007051"/>
            <a:gd name="connsiteX8" fmla="*/ 1555131 w 4652506"/>
            <a:gd name="connsiteY8" fmla="*/ 1525409 h 7007051"/>
            <a:gd name="connsiteX9" fmla="*/ 984682 w 4652506"/>
            <a:gd name="connsiteY9" fmla="*/ 2014444 h 7007051"/>
            <a:gd name="connsiteX10" fmla="*/ 1034717 w 4652506"/>
            <a:gd name="connsiteY10" fmla="*/ 2674692 h 7007051"/>
            <a:gd name="connsiteX11" fmla="*/ 1231830 w 4652506"/>
            <a:gd name="connsiteY11" fmla="*/ 2883923 h 7007051"/>
            <a:gd name="connsiteX12" fmla="*/ 1358243 w 4652506"/>
            <a:gd name="connsiteY12" fmla="*/ 3023561 h 7007051"/>
            <a:gd name="connsiteX13" fmla="*/ 1595047 w 4652506"/>
            <a:gd name="connsiteY13" fmla="*/ 3144507 h 7007051"/>
            <a:gd name="connsiteX14" fmla="*/ 1868152 w 4652506"/>
            <a:gd name="connsiteY14" fmla="*/ 3269307 h 7007051"/>
            <a:gd name="connsiteX15" fmla="*/ 2382525 w 4652506"/>
            <a:gd name="connsiteY15" fmla="*/ 3211882 h 7007051"/>
            <a:gd name="connsiteX16" fmla="*/ 2665910 w 4652506"/>
            <a:gd name="connsiteY16" fmla="*/ 2983079 h 7007051"/>
            <a:gd name="connsiteX17" fmla="*/ 2760372 w 4652506"/>
            <a:gd name="connsiteY17" fmla="*/ 3175274 h 7007051"/>
            <a:gd name="connsiteX18" fmla="*/ 2550152 w 4652506"/>
            <a:gd name="connsiteY18" fmla="*/ 3369679 h 7007051"/>
            <a:gd name="connsiteX19" fmla="*/ 2893037 w 4652506"/>
            <a:gd name="connsiteY19" fmla="*/ 3554559 h 7007051"/>
            <a:gd name="connsiteX20" fmla="*/ 3356020 w 4652506"/>
            <a:gd name="connsiteY20" fmla="*/ 3741583 h 7007051"/>
            <a:gd name="connsiteX21" fmla="*/ 3383911 w 4652506"/>
            <a:gd name="connsiteY21" fmla="*/ 4018854 h 7007051"/>
            <a:gd name="connsiteX22" fmla="*/ 3611651 w 4652506"/>
            <a:gd name="connsiteY22" fmla="*/ 4189085 h 7007051"/>
            <a:gd name="connsiteX23" fmla="*/ 3562243 w 4652506"/>
            <a:gd name="connsiteY23" fmla="*/ 4462626 h 7007051"/>
            <a:gd name="connsiteX24" fmla="*/ 3467805 w 4652506"/>
            <a:gd name="connsiteY24" fmla="*/ 4661583 h 7007051"/>
            <a:gd name="connsiteX25" fmla="*/ 3668060 w 4652506"/>
            <a:gd name="connsiteY25" fmla="*/ 4707646 h 7007051"/>
            <a:gd name="connsiteX26" fmla="*/ 3745746 w 4652506"/>
            <a:gd name="connsiteY26" fmla="*/ 4860605 h 7007051"/>
            <a:gd name="connsiteX27" fmla="*/ 3719012 w 4652506"/>
            <a:gd name="connsiteY27" fmla="*/ 5046272 h 7007051"/>
            <a:gd name="connsiteX28" fmla="*/ 4083088 w 4652506"/>
            <a:gd name="connsiteY28" fmla="*/ 5180238 h 7007051"/>
            <a:gd name="connsiteX29" fmla="*/ 4117263 w 4652506"/>
            <a:gd name="connsiteY29" fmla="*/ 5383001 h 7007051"/>
            <a:gd name="connsiteX30" fmla="*/ 4312130 w 4652506"/>
            <a:gd name="connsiteY30" fmla="*/ 5401041 h 7007051"/>
            <a:gd name="connsiteX31" fmla="*/ 4230117 w 4652506"/>
            <a:gd name="connsiteY31" fmla="*/ 5601929 h 7007051"/>
            <a:gd name="connsiteX32" fmla="*/ 4406546 w 4652506"/>
            <a:gd name="connsiteY32" fmla="*/ 5587200 h 7007051"/>
            <a:gd name="connsiteX33" fmla="*/ 4432449 w 4652506"/>
            <a:gd name="connsiteY33" fmla="*/ 5753106 h 7007051"/>
            <a:gd name="connsiteX34" fmla="*/ 4231606 w 4652506"/>
            <a:gd name="connsiteY34" fmla="*/ 5803898 h 7007051"/>
            <a:gd name="connsiteX35" fmla="*/ 3966490 w 4652506"/>
            <a:gd name="connsiteY35" fmla="*/ 6384095 h 7007051"/>
            <a:gd name="connsiteX36" fmla="*/ 4454205 w 4652506"/>
            <a:gd name="connsiteY36" fmla="*/ 7007051 h 7007051"/>
            <a:gd name="connsiteX37" fmla="*/ 12900 w 4652506"/>
            <a:gd name="connsiteY37" fmla="*/ 6992686 h 7007051"/>
            <a:gd name="connsiteX0" fmla="*/ 12900 w 4652506"/>
            <a:gd name="connsiteY0" fmla="*/ 6992686 h 7007051"/>
            <a:gd name="connsiteX1" fmla="*/ 12900 w 4652506"/>
            <a:gd name="connsiteY1" fmla="*/ 2611187 h 7007051"/>
            <a:gd name="connsiteX2" fmla="*/ 4000 w 4652506"/>
            <a:gd name="connsiteY2" fmla="*/ 1239764 h 7007051"/>
            <a:gd name="connsiteX3" fmla="*/ 4000 w 4652506"/>
            <a:gd name="connsiteY3" fmla="*/ 17389 h 7007051"/>
            <a:gd name="connsiteX4" fmla="*/ 1632181 w 4652506"/>
            <a:gd name="connsiteY4" fmla="*/ 0 h 7007051"/>
            <a:gd name="connsiteX5" fmla="*/ 1644235 w 4652506"/>
            <a:gd name="connsiteY5" fmla="*/ 654878 h 7007051"/>
            <a:gd name="connsiteX6" fmla="*/ 1721297 w 4652506"/>
            <a:gd name="connsiteY6" fmla="*/ 795713 h 7007051"/>
            <a:gd name="connsiteX7" fmla="*/ 1632323 w 4652506"/>
            <a:gd name="connsiteY7" fmla="*/ 960913 h 7007051"/>
            <a:gd name="connsiteX8" fmla="*/ 1555131 w 4652506"/>
            <a:gd name="connsiteY8" fmla="*/ 1525409 h 7007051"/>
            <a:gd name="connsiteX9" fmla="*/ 984682 w 4652506"/>
            <a:gd name="connsiteY9" fmla="*/ 2014444 h 7007051"/>
            <a:gd name="connsiteX10" fmla="*/ 1034717 w 4652506"/>
            <a:gd name="connsiteY10" fmla="*/ 2674692 h 7007051"/>
            <a:gd name="connsiteX11" fmla="*/ 1231830 w 4652506"/>
            <a:gd name="connsiteY11" fmla="*/ 2883923 h 7007051"/>
            <a:gd name="connsiteX12" fmla="*/ 1396911 w 4652506"/>
            <a:gd name="connsiteY12" fmla="*/ 3056762 h 7007051"/>
            <a:gd name="connsiteX13" fmla="*/ 1595047 w 4652506"/>
            <a:gd name="connsiteY13" fmla="*/ 3144507 h 7007051"/>
            <a:gd name="connsiteX14" fmla="*/ 1868152 w 4652506"/>
            <a:gd name="connsiteY14" fmla="*/ 3269307 h 7007051"/>
            <a:gd name="connsiteX15" fmla="*/ 2382525 w 4652506"/>
            <a:gd name="connsiteY15" fmla="*/ 3211882 h 7007051"/>
            <a:gd name="connsiteX16" fmla="*/ 2665910 w 4652506"/>
            <a:gd name="connsiteY16" fmla="*/ 2983079 h 7007051"/>
            <a:gd name="connsiteX17" fmla="*/ 2760372 w 4652506"/>
            <a:gd name="connsiteY17" fmla="*/ 3175274 h 7007051"/>
            <a:gd name="connsiteX18" fmla="*/ 2550152 w 4652506"/>
            <a:gd name="connsiteY18" fmla="*/ 3369679 h 7007051"/>
            <a:gd name="connsiteX19" fmla="*/ 2893037 w 4652506"/>
            <a:gd name="connsiteY19" fmla="*/ 3554559 h 7007051"/>
            <a:gd name="connsiteX20" fmla="*/ 3356020 w 4652506"/>
            <a:gd name="connsiteY20" fmla="*/ 3741583 h 7007051"/>
            <a:gd name="connsiteX21" fmla="*/ 3383911 w 4652506"/>
            <a:gd name="connsiteY21" fmla="*/ 4018854 h 7007051"/>
            <a:gd name="connsiteX22" fmla="*/ 3611651 w 4652506"/>
            <a:gd name="connsiteY22" fmla="*/ 4189085 h 7007051"/>
            <a:gd name="connsiteX23" fmla="*/ 3562243 w 4652506"/>
            <a:gd name="connsiteY23" fmla="*/ 4462626 h 7007051"/>
            <a:gd name="connsiteX24" fmla="*/ 3467805 w 4652506"/>
            <a:gd name="connsiteY24" fmla="*/ 4661583 h 7007051"/>
            <a:gd name="connsiteX25" fmla="*/ 3668060 w 4652506"/>
            <a:gd name="connsiteY25" fmla="*/ 4707646 h 7007051"/>
            <a:gd name="connsiteX26" fmla="*/ 3745746 w 4652506"/>
            <a:gd name="connsiteY26" fmla="*/ 4860605 h 7007051"/>
            <a:gd name="connsiteX27" fmla="*/ 3719012 w 4652506"/>
            <a:gd name="connsiteY27" fmla="*/ 5046272 h 7007051"/>
            <a:gd name="connsiteX28" fmla="*/ 4083088 w 4652506"/>
            <a:gd name="connsiteY28" fmla="*/ 5180238 h 7007051"/>
            <a:gd name="connsiteX29" fmla="*/ 4117263 w 4652506"/>
            <a:gd name="connsiteY29" fmla="*/ 5383001 h 7007051"/>
            <a:gd name="connsiteX30" fmla="*/ 4312130 w 4652506"/>
            <a:gd name="connsiteY30" fmla="*/ 5401041 h 7007051"/>
            <a:gd name="connsiteX31" fmla="*/ 4230117 w 4652506"/>
            <a:gd name="connsiteY31" fmla="*/ 5601929 h 7007051"/>
            <a:gd name="connsiteX32" fmla="*/ 4406546 w 4652506"/>
            <a:gd name="connsiteY32" fmla="*/ 5587200 h 7007051"/>
            <a:gd name="connsiteX33" fmla="*/ 4432449 w 4652506"/>
            <a:gd name="connsiteY33" fmla="*/ 5753106 h 7007051"/>
            <a:gd name="connsiteX34" fmla="*/ 4231606 w 4652506"/>
            <a:gd name="connsiteY34" fmla="*/ 5803898 h 7007051"/>
            <a:gd name="connsiteX35" fmla="*/ 3966490 w 4652506"/>
            <a:gd name="connsiteY35" fmla="*/ 6384095 h 7007051"/>
            <a:gd name="connsiteX36" fmla="*/ 4454205 w 4652506"/>
            <a:gd name="connsiteY36" fmla="*/ 7007051 h 7007051"/>
            <a:gd name="connsiteX37" fmla="*/ 12900 w 4652506"/>
            <a:gd name="connsiteY37" fmla="*/ 6992686 h 7007051"/>
            <a:gd name="connsiteX0" fmla="*/ 12900 w 4652506"/>
            <a:gd name="connsiteY0" fmla="*/ 6992686 h 7007051"/>
            <a:gd name="connsiteX1" fmla="*/ 12900 w 4652506"/>
            <a:gd name="connsiteY1" fmla="*/ 2611187 h 7007051"/>
            <a:gd name="connsiteX2" fmla="*/ 4000 w 4652506"/>
            <a:gd name="connsiteY2" fmla="*/ 1239764 h 7007051"/>
            <a:gd name="connsiteX3" fmla="*/ 4000 w 4652506"/>
            <a:gd name="connsiteY3" fmla="*/ 17389 h 7007051"/>
            <a:gd name="connsiteX4" fmla="*/ 1632181 w 4652506"/>
            <a:gd name="connsiteY4" fmla="*/ 0 h 7007051"/>
            <a:gd name="connsiteX5" fmla="*/ 1644235 w 4652506"/>
            <a:gd name="connsiteY5" fmla="*/ 654878 h 7007051"/>
            <a:gd name="connsiteX6" fmla="*/ 1721297 w 4652506"/>
            <a:gd name="connsiteY6" fmla="*/ 795713 h 7007051"/>
            <a:gd name="connsiteX7" fmla="*/ 1632323 w 4652506"/>
            <a:gd name="connsiteY7" fmla="*/ 960913 h 7007051"/>
            <a:gd name="connsiteX8" fmla="*/ 1555131 w 4652506"/>
            <a:gd name="connsiteY8" fmla="*/ 1525409 h 7007051"/>
            <a:gd name="connsiteX9" fmla="*/ 984682 w 4652506"/>
            <a:gd name="connsiteY9" fmla="*/ 2014444 h 7007051"/>
            <a:gd name="connsiteX10" fmla="*/ 1034717 w 4652506"/>
            <a:gd name="connsiteY10" fmla="*/ 2674692 h 7007051"/>
            <a:gd name="connsiteX11" fmla="*/ 1231830 w 4652506"/>
            <a:gd name="connsiteY11" fmla="*/ 2883923 h 7007051"/>
            <a:gd name="connsiteX12" fmla="*/ 1396911 w 4652506"/>
            <a:gd name="connsiteY12" fmla="*/ 3056762 h 7007051"/>
            <a:gd name="connsiteX13" fmla="*/ 1633714 w 4652506"/>
            <a:gd name="connsiteY13" fmla="*/ 3202608 h 7007051"/>
            <a:gd name="connsiteX14" fmla="*/ 1868152 w 4652506"/>
            <a:gd name="connsiteY14" fmla="*/ 3269307 h 7007051"/>
            <a:gd name="connsiteX15" fmla="*/ 2382525 w 4652506"/>
            <a:gd name="connsiteY15" fmla="*/ 3211882 h 7007051"/>
            <a:gd name="connsiteX16" fmla="*/ 2665910 w 4652506"/>
            <a:gd name="connsiteY16" fmla="*/ 2983079 h 7007051"/>
            <a:gd name="connsiteX17" fmla="*/ 2760372 w 4652506"/>
            <a:gd name="connsiteY17" fmla="*/ 3175274 h 7007051"/>
            <a:gd name="connsiteX18" fmla="*/ 2550152 w 4652506"/>
            <a:gd name="connsiteY18" fmla="*/ 3369679 h 7007051"/>
            <a:gd name="connsiteX19" fmla="*/ 2893037 w 4652506"/>
            <a:gd name="connsiteY19" fmla="*/ 3554559 h 7007051"/>
            <a:gd name="connsiteX20" fmla="*/ 3356020 w 4652506"/>
            <a:gd name="connsiteY20" fmla="*/ 3741583 h 7007051"/>
            <a:gd name="connsiteX21" fmla="*/ 3383911 w 4652506"/>
            <a:gd name="connsiteY21" fmla="*/ 4018854 h 7007051"/>
            <a:gd name="connsiteX22" fmla="*/ 3611651 w 4652506"/>
            <a:gd name="connsiteY22" fmla="*/ 4189085 h 7007051"/>
            <a:gd name="connsiteX23" fmla="*/ 3562243 w 4652506"/>
            <a:gd name="connsiteY23" fmla="*/ 4462626 h 7007051"/>
            <a:gd name="connsiteX24" fmla="*/ 3467805 w 4652506"/>
            <a:gd name="connsiteY24" fmla="*/ 4661583 h 7007051"/>
            <a:gd name="connsiteX25" fmla="*/ 3668060 w 4652506"/>
            <a:gd name="connsiteY25" fmla="*/ 4707646 h 7007051"/>
            <a:gd name="connsiteX26" fmla="*/ 3745746 w 4652506"/>
            <a:gd name="connsiteY26" fmla="*/ 4860605 h 7007051"/>
            <a:gd name="connsiteX27" fmla="*/ 3719012 w 4652506"/>
            <a:gd name="connsiteY27" fmla="*/ 5046272 h 7007051"/>
            <a:gd name="connsiteX28" fmla="*/ 4083088 w 4652506"/>
            <a:gd name="connsiteY28" fmla="*/ 5180238 h 7007051"/>
            <a:gd name="connsiteX29" fmla="*/ 4117263 w 4652506"/>
            <a:gd name="connsiteY29" fmla="*/ 5383001 h 7007051"/>
            <a:gd name="connsiteX30" fmla="*/ 4312130 w 4652506"/>
            <a:gd name="connsiteY30" fmla="*/ 5401041 h 7007051"/>
            <a:gd name="connsiteX31" fmla="*/ 4230117 w 4652506"/>
            <a:gd name="connsiteY31" fmla="*/ 5601929 h 7007051"/>
            <a:gd name="connsiteX32" fmla="*/ 4406546 w 4652506"/>
            <a:gd name="connsiteY32" fmla="*/ 5587200 h 7007051"/>
            <a:gd name="connsiteX33" fmla="*/ 4432449 w 4652506"/>
            <a:gd name="connsiteY33" fmla="*/ 5753106 h 7007051"/>
            <a:gd name="connsiteX34" fmla="*/ 4231606 w 4652506"/>
            <a:gd name="connsiteY34" fmla="*/ 5803898 h 7007051"/>
            <a:gd name="connsiteX35" fmla="*/ 3966490 w 4652506"/>
            <a:gd name="connsiteY35" fmla="*/ 6384095 h 7007051"/>
            <a:gd name="connsiteX36" fmla="*/ 4454205 w 4652506"/>
            <a:gd name="connsiteY36" fmla="*/ 7007051 h 7007051"/>
            <a:gd name="connsiteX37" fmla="*/ 12900 w 4652506"/>
            <a:gd name="connsiteY37" fmla="*/ 6992686 h 7007051"/>
            <a:gd name="connsiteX0" fmla="*/ 12900 w 4652506"/>
            <a:gd name="connsiteY0" fmla="*/ 6992686 h 7007051"/>
            <a:gd name="connsiteX1" fmla="*/ 12900 w 4652506"/>
            <a:gd name="connsiteY1" fmla="*/ 2611187 h 7007051"/>
            <a:gd name="connsiteX2" fmla="*/ 4000 w 4652506"/>
            <a:gd name="connsiteY2" fmla="*/ 1239764 h 7007051"/>
            <a:gd name="connsiteX3" fmla="*/ 4000 w 4652506"/>
            <a:gd name="connsiteY3" fmla="*/ 17389 h 7007051"/>
            <a:gd name="connsiteX4" fmla="*/ 1632181 w 4652506"/>
            <a:gd name="connsiteY4" fmla="*/ 0 h 7007051"/>
            <a:gd name="connsiteX5" fmla="*/ 1644235 w 4652506"/>
            <a:gd name="connsiteY5" fmla="*/ 654878 h 7007051"/>
            <a:gd name="connsiteX6" fmla="*/ 1721297 w 4652506"/>
            <a:gd name="connsiteY6" fmla="*/ 795713 h 7007051"/>
            <a:gd name="connsiteX7" fmla="*/ 1632323 w 4652506"/>
            <a:gd name="connsiteY7" fmla="*/ 960913 h 7007051"/>
            <a:gd name="connsiteX8" fmla="*/ 1555131 w 4652506"/>
            <a:gd name="connsiteY8" fmla="*/ 1525409 h 7007051"/>
            <a:gd name="connsiteX9" fmla="*/ 984682 w 4652506"/>
            <a:gd name="connsiteY9" fmla="*/ 2014444 h 7007051"/>
            <a:gd name="connsiteX10" fmla="*/ 1034717 w 4652506"/>
            <a:gd name="connsiteY10" fmla="*/ 2674692 h 7007051"/>
            <a:gd name="connsiteX11" fmla="*/ 1231830 w 4652506"/>
            <a:gd name="connsiteY11" fmla="*/ 2883923 h 7007051"/>
            <a:gd name="connsiteX12" fmla="*/ 1396911 w 4652506"/>
            <a:gd name="connsiteY12" fmla="*/ 3056762 h 7007051"/>
            <a:gd name="connsiteX13" fmla="*/ 1633714 w 4652506"/>
            <a:gd name="connsiteY13" fmla="*/ 3202608 h 7007051"/>
            <a:gd name="connsiteX14" fmla="*/ 1887487 w 4652506"/>
            <a:gd name="connsiteY14" fmla="*/ 3319108 h 7007051"/>
            <a:gd name="connsiteX15" fmla="*/ 2382525 w 4652506"/>
            <a:gd name="connsiteY15" fmla="*/ 3211882 h 7007051"/>
            <a:gd name="connsiteX16" fmla="*/ 2665910 w 4652506"/>
            <a:gd name="connsiteY16" fmla="*/ 2983079 h 7007051"/>
            <a:gd name="connsiteX17" fmla="*/ 2760372 w 4652506"/>
            <a:gd name="connsiteY17" fmla="*/ 3175274 h 7007051"/>
            <a:gd name="connsiteX18" fmla="*/ 2550152 w 4652506"/>
            <a:gd name="connsiteY18" fmla="*/ 3369679 h 7007051"/>
            <a:gd name="connsiteX19" fmla="*/ 2893037 w 4652506"/>
            <a:gd name="connsiteY19" fmla="*/ 3554559 h 7007051"/>
            <a:gd name="connsiteX20" fmla="*/ 3356020 w 4652506"/>
            <a:gd name="connsiteY20" fmla="*/ 3741583 h 7007051"/>
            <a:gd name="connsiteX21" fmla="*/ 3383911 w 4652506"/>
            <a:gd name="connsiteY21" fmla="*/ 4018854 h 7007051"/>
            <a:gd name="connsiteX22" fmla="*/ 3611651 w 4652506"/>
            <a:gd name="connsiteY22" fmla="*/ 4189085 h 7007051"/>
            <a:gd name="connsiteX23" fmla="*/ 3562243 w 4652506"/>
            <a:gd name="connsiteY23" fmla="*/ 4462626 h 7007051"/>
            <a:gd name="connsiteX24" fmla="*/ 3467805 w 4652506"/>
            <a:gd name="connsiteY24" fmla="*/ 4661583 h 7007051"/>
            <a:gd name="connsiteX25" fmla="*/ 3668060 w 4652506"/>
            <a:gd name="connsiteY25" fmla="*/ 4707646 h 7007051"/>
            <a:gd name="connsiteX26" fmla="*/ 3745746 w 4652506"/>
            <a:gd name="connsiteY26" fmla="*/ 4860605 h 7007051"/>
            <a:gd name="connsiteX27" fmla="*/ 3719012 w 4652506"/>
            <a:gd name="connsiteY27" fmla="*/ 5046272 h 7007051"/>
            <a:gd name="connsiteX28" fmla="*/ 4083088 w 4652506"/>
            <a:gd name="connsiteY28" fmla="*/ 5180238 h 7007051"/>
            <a:gd name="connsiteX29" fmla="*/ 4117263 w 4652506"/>
            <a:gd name="connsiteY29" fmla="*/ 5383001 h 7007051"/>
            <a:gd name="connsiteX30" fmla="*/ 4312130 w 4652506"/>
            <a:gd name="connsiteY30" fmla="*/ 5401041 h 7007051"/>
            <a:gd name="connsiteX31" fmla="*/ 4230117 w 4652506"/>
            <a:gd name="connsiteY31" fmla="*/ 5601929 h 7007051"/>
            <a:gd name="connsiteX32" fmla="*/ 4406546 w 4652506"/>
            <a:gd name="connsiteY32" fmla="*/ 5587200 h 7007051"/>
            <a:gd name="connsiteX33" fmla="*/ 4432449 w 4652506"/>
            <a:gd name="connsiteY33" fmla="*/ 5753106 h 7007051"/>
            <a:gd name="connsiteX34" fmla="*/ 4231606 w 4652506"/>
            <a:gd name="connsiteY34" fmla="*/ 5803898 h 7007051"/>
            <a:gd name="connsiteX35" fmla="*/ 3966490 w 4652506"/>
            <a:gd name="connsiteY35" fmla="*/ 6384095 h 7007051"/>
            <a:gd name="connsiteX36" fmla="*/ 4454205 w 4652506"/>
            <a:gd name="connsiteY36" fmla="*/ 7007051 h 7007051"/>
            <a:gd name="connsiteX37" fmla="*/ 12900 w 4652506"/>
            <a:gd name="connsiteY37" fmla="*/ 6992686 h 7007051"/>
            <a:gd name="connsiteX0" fmla="*/ 12900 w 4652506"/>
            <a:gd name="connsiteY0" fmla="*/ 6992686 h 7007051"/>
            <a:gd name="connsiteX1" fmla="*/ 12900 w 4652506"/>
            <a:gd name="connsiteY1" fmla="*/ 2611187 h 7007051"/>
            <a:gd name="connsiteX2" fmla="*/ 4000 w 4652506"/>
            <a:gd name="connsiteY2" fmla="*/ 1239764 h 7007051"/>
            <a:gd name="connsiteX3" fmla="*/ 4000 w 4652506"/>
            <a:gd name="connsiteY3" fmla="*/ 17389 h 7007051"/>
            <a:gd name="connsiteX4" fmla="*/ 1632181 w 4652506"/>
            <a:gd name="connsiteY4" fmla="*/ 0 h 7007051"/>
            <a:gd name="connsiteX5" fmla="*/ 1644235 w 4652506"/>
            <a:gd name="connsiteY5" fmla="*/ 654878 h 7007051"/>
            <a:gd name="connsiteX6" fmla="*/ 1721297 w 4652506"/>
            <a:gd name="connsiteY6" fmla="*/ 795713 h 7007051"/>
            <a:gd name="connsiteX7" fmla="*/ 1632323 w 4652506"/>
            <a:gd name="connsiteY7" fmla="*/ 960913 h 7007051"/>
            <a:gd name="connsiteX8" fmla="*/ 1555131 w 4652506"/>
            <a:gd name="connsiteY8" fmla="*/ 1525409 h 7007051"/>
            <a:gd name="connsiteX9" fmla="*/ 984682 w 4652506"/>
            <a:gd name="connsiteY9" fmla="*/ 2014444 h 7007051"/>
            <a:gd name="connsiteX10" fmla="*/ 1034717 w 4652506"/>
            <a:gd name="connsiteY10" fmla="*/ 2674692 h 7007051"/>
            <a:gd name="connsiteX11" fmla="*/ 1231830 w 4652506"/>
            <a:gd name="connsiteY11" fmla="*/ 2883923 h 7007051"/>
            <a:gd name="connsiteX12" fmla="*/ 1425911 w 4652506"/>
            <a:gd name="connsiteY12" fmla="*/ 3015261 h 7007051"/>
            <a:gd name="connsiteX13" fmla="*/ 1633714 w 4652506"/>
            <a:gd name="connsiteY13" fmla="*/ 3202608 h 7007051"/>
            <a:gd name="connsiteX14" fmla="*/ 1887487 w 4652506"/>
            <a:gd name="connsiteY14" fmla="*/ 3319108 h 7007051"/>
            <a:gd name="connsiteX15" fmla="*/ 2382525 w 4652506"/>
            <a:gd name="connsiteY15" fmla="*/ 3211882 h 7007051"/>
            <a:gd name="connsiteX16" fmla="*/ 2665910 w 4652506"/>
            <a:gd name="connsiteY16" fmla="*/ 2983079 h 7007051"/>
            <a:gd name="connsiteX17" fmla="*/ 2760372 w 4652506"/>
            <a:gd name="connsiteY17" fmla="*/ 3175274 h 7007051"/>
            <a:gd name="connsiteX18" fmla="*/ 2550152 w 4652506"/>
            <a:gd name="connsiteY18" fmla="*/ 3369679 h 7007051"/>
            <a:gd name="connsiteX19" fmla="*/ 2893037 w 4652506"/>
            <a:gd name="connsiteY19" fmla="*/ 3554559 h 7007051"/>
            <a:gd name="connsiteX20" fmla="*/ 3356020 w 4652506"/>
            <a:gd name="connsiteY20" fmla="*/ 3741583 h 7007051"/>
            <a:gd name="connsiteX21" fmla="*/ 3383911 w 4652506"/>
            <a:gd name="connsiteY21" fmla="*/ 4018854 h 7007051"/>
            <a:gd name="connsiteX22" fmla="*/ 3611651 w 4652506"/>
            <a:gd name="connsiteY22" fmla="*/ 4189085 h 7007051"/>
            <a:gd name="connsiteX23" fmla="*/ 3562243 w 4652506"/>
            <a:gd name="connsiteY23" fmla="*/ 4462626 h 7007051"/>
            <a:gd name="connsiteX24" fmla="*/ 3467805 w 4652506"/>
            <a:gd name="connsiteY24" fmla="*/ 4661583 h 7007051"/>
            <a:gd name="connsiteX25" fmla="*/ 3668060 w 4652506"/>
            <a:gd name="connsiteY25" fmla="*/ 4707646 h 7007051"/>
            <a:gd name="connsiteX26" fmla="*/ 3745746 w 4652506"/>
            <a:gd name="connsiteY26" fmla="*/ 4860605 h 7007051"/>
            <a:gd name="connsiteX27" fmla="*/ 3719012 w 4652506"/>
            <a:gd name="connsiteY27" fmla="*/ 5046272 h 7007051"/>
            <a:gd name="connsiteX28" fmla="*/ 4083088 w 4652506"/>
            <a:gd name="connsiteY28" fmla="*/ 5180238 h 7007051"/>
            <a:gd name="connsiteX29" fmla="*/ 4117263 w 4652506"/>
            <a:gd name="connsiteY29" fmla="*/ 5383001 h 7007051"/>
            <a:gd name="connsiteX30" fmla="*/ 4312130 w 4652506"/>
            <a:gd name="connsiteY30" fmla="*/ 5401041 h 7007051"/>
            <a:gd name="connsiteX31" fmla="*/ 4230117 w 4652506"/>
            <a:gd name="connsiteY31" fmla="*/ 5601929 h 7007051"/>
            <a:gd name="connsiteX32" fmla="*/ 4406546 w 4652506"/>
            <a:gd name="connsiteY32" fmla="*/ 5587200 h 7007051"/>
            <a:gd name="connsiteX33" fmla="*/ 4432449 w 4652506"/>
            <a:gd name="connsiteY33" fmla="*/ 5753106 h 7007051"/>
            <a:gd name="connsiteX34" fmla="*/ 4231606 w 4652506"/>
            <a:gd name="connsiteY34" fmla="*/ 5803898 h 7007051"/>
            <a:gd name="connsiteX35" fmla="*/ 3966490 w 4652506"/>
            <a:gd name="connsiteY35" fmla="*/ 6384095 h 7007051"/>
            <a:gd name="connsiteX36" fmla="*/ 4454205 w 4652506"/>
            <a:gd name="connsiteY36" fmla="*/ 7007051 h 7007051"/>
            <a:gd name="connsiteX37" fmla="*/ 12900 w 4652506"/>
            <a:gd name="connsiteY37" fmla="*/ 6992686 h 7007051"/>
            <a:gd name="connsiteX0" fmla="*/ 12900 w 4652506"/>
            <a:gd name="connsiteY0" fmla="*/ 6992686 h 7007051"/>
            <a:gd name="connsiteX1" fmla="*/ 12900 w 4652506"/>
            <a:gd name="connsiteY1" fmla="*/ 2611187 h 7007051"/>
            <a:gd name="connsiteX2" fmla="*/ 4000 w 4652506"/>
            <a:gd name="connsiteY2" fmla="*/ 1239764 h 7007051"/>
            <a:gd name="connsiteX3" fmla="*/ 4000 w 4652506"/>
            <a:gd name="connsiteY3" fmla="*/ 17389 h 7007051"/>
            <a:gd name="connsiteX4" fmla="*/ 1632181 w 4652506"/>
            <a:gd name="connsiteY4" fmla="*/ 0 h 7007051"/>
            <a:gd name="connsiteX5" fmla="*/ 1644235 w 4652506"/>
            <a:gd name="connsiteY5" fmla="*/ 654878 h 7007051"/>
            <a:gd name="connsiteX6" fmla="*/ 1721297 w 4652506"/>
            <a:gd name="connsiteY6" fmla="*/ 795713 h 7007051"/>
            <a:gd name="connsiteX7" fmla="*/ 1632323 w 4652506"/>
            <a:gd name="connsiteY7" fmla="*/ 960913 h 7007051"/>
            <a:gd name="connsiteX8" fmla="*/ 1555131 w 4652506"/>
            <a:gd name="connsiteY8" fmla="*/ 1525409 h 7007051"/>
            <a:gd name="connsiteX9" fmla="*/ 984682 w 4652506"/>
            <a:gd name="connsiteY9" fmla="*/ 2014444 h 7007051"/>
            <a:gd name="connsiteX10" fmla="*/ 1034717 w 4652506"/>
            <a:gd name="connsiteY10" fmla="*/ 2674692 h 7007051"/>
            <a:gd name="connsiteX11" fmla="*/ 1231830 w 4652506"/>
            <a:gd name="connsiteY11" fmla="*/ 2883923 h 7007051"/>
            <a:gd name="connsiteX12" fmla="*/ 1425911 w 4652506"/>
            <a:gd name="connsiteY12" fmla="*/ 3015261 h 7007051"/>
            <a:gd name="connsiteX13" fmla="*/ 1672382 w 4652506"/>
            <a:gd name="connsiteY13" fmla="*/ 3210908 h 7007051"/>
            <a:gd name="connsiteX14" fmla="*/ 1887487 w 4652506"/>
            <a:gd name="connsiteY14" fmla="*/ 3319108 h 7007051"/>
            <a:gd name="connsiteX15" fmla="*/ 2382525 w 4652506"/>
            <a:gd name="connsiteY15" fmla="*/ 3211882 h 7007051"/>
            <a:gd name="connsiteX16" fmla="*/ 2665910 w 4652506"/>
            <a:gd name="connsiteY16" fmla="*/ 2983079 h 7007051"/>
            <a:gd name="connsiteX17" fmla="*/ 2760372 w 4652506"/>
            <a:gd name="connsiteY17" fmla="*/ 3175274 h 7007051"/>
            <a:gd name="connsiteX18" fmla="*/ 2550152 w 4652506"/>
            <a:gd name="connsiteY18" fmla="*/ 3369679 h 7007051"/>
            <a:gd name="connsiteX19" fmla="*/ 2893037 w 4652506"/>
            <a:gd name="connsiteY19" fmla="*/ 3554559 h 7007051"/>
            <a:gd name="connsiteX20" fmla="*/ 3356020 w 4652506"/>
            <a:gd name="connsiteY20" fmla="*/ 3741583 h 7007051"/>
            <a:gd name="connsiteX21" fmla="*/ 3383911 w 4652506"/>
            <a:gd name="connsiteY21" fmla="*/ 4018854 h 7007051"/>
            <a:gd name="connsiteX22" fmla="*/ 3611651 w 4652506"/>
            <a:gd name="connsiteY22" fmla="*/ 4189085 h 7007051"/>
            <a:gd name="connsiteX23" fmla="*/ 3562243 w 4652506"/>
            <a:gd name="connsiteY23" fmla="*/ 4462626 h 7007051"/>
            <a:gd name="connsiteX24" fmla="*/ 3467805 w 4652506"/>
            <a:gd name="connsiteY24" fmla="*/ 4661583 h 7007051"/>
            <a:gd name="connsiteX25" fmla="*/ 3668060 w 4652506"/>
            <a:gd name="connsiteY25" fmla="*/ 4707646 h 7007051"/>
            <a:gd name="connsiteX26" fmla="*/ 3745746 w 4652506"/>
            <a:gd name="connsiteY26" fmla="*/ 4860605 h 7007051"/>
            <a:gd name="connsiteX27" fmla="*/ 3719012 w 4652506"/>
            <a:gd name="connsiteY27" fmla="*/ 5046272 h 7007051"/>
            <a:gd name="connsiteX28" fmla="*/ 4083088 w 4652506"/>
            <a:gd name="connsiteY28" fmla="*/ 5180238 h 7007051"/>
            <a:gd name="connsiteX29" fmla="*/ 4117263 w 4652506"/>
            <a:gd name="connsiteY29" fmla="*/ 5383001 h 7007051"/>
            <a:gd name="connsiteX30" fmla="*/ 4312130 w 4652506"/>
            <a:gd name="connsiteY30" fmla="*/ 5401041 h 7007051"/>
            <a:gd name="connsiteX31" fmla="*/ 4230117 w 4652506"/>
            <a:gd name="connsiteY31" fmla="*/ 5601929 h 7007051"/>
            <a:gd name="connsiteX32" fmla="*/ 4406546 w 4652506"/>
            <a:gd name="connsiteY32" fmla="*/ 5587200 h 7007051"/>
            <a:gd name="connsiteX33" fmla="*/ 4432449 w 4652506"/>
            <a:gd name="connsiteY33" fmla="*/ 5753106 h 7007051"/>
            <a:gd name="connsiteX34" fmla="*/ 4231606 w 4652506"/>
            <a:gd name="connsiteY34" fmla="*/ 5803898 h 7007051"/>
            <a:gd name="connsiteX35" fmla="*/ 3966490 w 4652506"/>
            <a:gd name="connsiteY35" fmla="*/ 6384095 h 7007051"/>
            <a:gd name="connsiteX36" fmla="*/ 4454205 w 4652506"/>
            <a:gd name="connsiteY36" fmla="*/ 7007051 h 7007051"/>
            <a:gd name="connsiteX37" fmla="*/ 12900 w 4652506"/>
            <a:gd name="connsiteY37" fmla="*/ 6992686 h 7007051"/>
            <a:gd name="connsiteX0" fmla="*/ 12900 w 4652506"/>
            <a:gd name="connsiteY0" fmla="*/ 6992686 h 7007051"/>
            <a:gd name="connsiteX1" fmla="*/ 12900 w 4652506"/>
            <a:gd name="connsiteY1" fmla="*/ 2611187 h 7007051"/>
            <a:gd name="connsiteX2" fmla="*/ 4000 w 4652506"/>
            <a:gd name="connsiteY2" fmla="*/ 1239764 h 7007051"/>
            <a:gd name="connsiteX3" fmla="*/ 4000 w 4652506"/>
            <a:gd name="connsiteY3" fmla="*/ 17389 h 7007051"/>
            <a:gd name="connsiteX4" fmla="*/ 1632181 w 4652506"/>
            <a:gd name="connsiteY4" fmla="*/ 0 h 7007051"/>
            <a:gd name="connsiteX5" fmla="*/ 1644235 w 4652506"/>
            <a:gd name="connsiteY5" fmla="*/ 654878 h 7007051"/>
            <a:gd name="connsiteX6" fmla="*/ 1721297 w 4652506"/>
            <a:gd name="connsiteY6" fmla="*/ 795713 h 7007051"/>
            <a:gd name="connsiteX7" fmla="*/ 1632323 w 4652506"/>
            <a:gd name="connsiteY7" fmla="*/ 960913 h 7007051"/>
            <a:gd name="connsiteX8" fmla="*/ 1555131 w 4652506"/>
            <a:gd name="connsiteY8" fmla="*/ 1525409 h 7007051"/>
            <a:gd name="connsiteX9" fmla="*/ 984682 w 4652506"/>
            <a:gd name="connsiteY9" fmla="*/ 2014444 h 7007051"/>
            <a:gd name="connsiteX10" fmla="*/ 1034717 w 4652506"/>
            <a:gd name="connsiteY10" fmla="*/ 2674692 h 7007051"/>
            <a:gd name="connsiteX11" fmla="*/ 1202829 w 4652506"/>
            <a:gd name="connsiteY11" fmla="*/ 2908823 h 7007051"/>
            <a:gd name="connsiteX12" fmla="*/ 1425911 w 4652506"/>
            <a:gd name="connsiteY12" fmla="*/ 3015261 h 7007051"/>
            <a:gd name="connsiteX13" fmla="*/ 1672382 w 4652506"/>
            <a:gd name="connsiteY13" fmla="*/ 3210908 h 7007051"/>
            <a:gd name="connsiteX14" fmla="*/ 1887487 w 4652506"/>
            <a:gd name="connsiteY14" fmla="*/ 3319108 h 7007051"/>
            <a:gd name="connsiteX15" fmla="*/ 2382525 w 4652506"/>
            <a:gd name="connsiteY15" fmla="*/ 3211882 h 7007051"/>
            <a:gd name="connsiteX16" fmla="*/ 2665910 w 4652506"/>
            <a:gd name="connsiteY16" fmla="*/ 2983079 h 7007051"/>
            <a:gd name="connsiteX17" fmla="*/ 2760372 w 4652506"/>
            <a:gd name="connsiteY17" fmla="*/ 3175274 h 7007051"/>
            <a:gd name="connsiteX18" fmla="*/ 2550152 w 4652506"/>
            <a:gd name="connsiteY18" fmla="*/ 3369679 h 7007051"/>
            <a:gd name="connsiteX19" fmla="*/ 2893037 w 4652506"/>
            <a:gd name="connsiteY19" fmla="*/ 3554559 h 7007051"/>
            <a:gd name="connsiteX20" fmla="*/ 3356020 w 4652506"/>
            <a:gd name="connsiteY20" fmla="*/ 3741583 h 7007051"/>
            <a:gd name="connsiteX21" fmla="*/ 3383911 w 4652506"/>
            <a:gd name="connsiteY21" fmla="*/ 4018854 h 7007051"/>
            <a:gd name="connsiteX22" fmla="*/ 3611651 w 4652506"/>
            <a:gd name="connsiteY22" fmla="*/ 4189085 h 7007051"/>
            <a:gd name="connsiteX23" fmla="*/ 3562243 w 4652506"/>
            <a:gd name="connsiteY23" fmla="*/ 4462626 h 7007051"/>
            <a:gd name="connsiteX24" fmla="*/ 3467805 w 4652506"/>
            <a:gd name="connsiteY24" fmla="*/ 4661583 h 7007051"/>
            <a:gd name="connsiteX25" fmla="*/ 3668060 w 4652506"/>
            <a:gd name="connsiteY25" fmla="*/ 4707646 h 7007051"/>
            <a:gd name="connsiteX26" fmla="*/ 3745746 w 4652506"/>
            <a:gd name="connsiteY26" fmla="*/ 4860605 h 7007051"/>
            <a:gd name="connsiteX27" fmla="*/ 3719012 w 4652506"/>
            <a:gd name="connsiteY27" fmla="*/ 5046272 h 7007051"/>
            <a:gd name="connsiteX28" fmla="*/ 4083088 w 4652506"/>
            <a:gd name="connsiteY28" fmla="*/ 5180238 h 7007051"/>
            <a:gd name="connsiteX29" fmla="*/ 4117263 w 4652506"/>
            <a:gd name="connsiteY29" fmla="*/ 5383001 h 7007051"/>
            <a:gd name="connsiteX30" fmla="*/ 4312130 w 4652506"/>
            <a:gd name="connsiteY30" fmla="*/ 5401041 h 7007051"/>
            <a:gd name="connsiteX31" fmla="*/ 4230117 w 4652506"/>
            <a:gd name="connsiteY31" fmla="*/ 5601929 h 7007051"/>
            <a:gd name="connsiteX32" fmla="*/ 4406546 w 4652506"/>
            <a:gd name="connsiteY32" fmla="*/ 5587200 h 7007051"/>
            <a:gd name="connsiteX33" fmla="*/ 4432449 w 4652506"/>
            <a:gd name="connsiteY33" fmla="*/ 5753106 h 7007051"/>
            <a:gd name="connsiteX34" fmla="*/ 4231606 w 4652506"/>
            <a:gd name="connsiteY34" fmla="*/ 5803898 h 7007051"/>
            <a:gd name="connsiteX35" fmla="*/ 3966490 w 4652506"/>
            <a:gd name="connsiteY35" fmla="*/ 6384095 h 7007051"/>
            <a:gd name="connsiteX36" fmla="*/ 4454205 w 4652506"/>
            <a:gd name="connsiteY36" fmla="*/ 7007051 h 7007051"/>
            <a:gd name="connsiteX37" fmla="*/ 12900 w 4652506"/>
            <a:gd name="connsiteY37" fmla="*/ 6992686 h 7007051"/>
            <a:gd name="connsiteX0" fmla="*/ 12900 w 4652506"/>
            <a:gd name="connsiteY0" fmla="*/ 6992686 h 7007051"/>
            <a:gd name="connsiteX1" fmla="*/ 12900 w 4652506"/>
            <a:gd name="connsiteY1" fmla="*/ 2611187 h 7007051"/>
            <a:gd name="connsiteX2" fmla="*/ 4000 w 4652506"/>
            <a:gd name="connsiteY2" fmla="*/ 1239764 h 7007051"/>
            <a:gd name="connsiteX3" fmla="*/ 4000 w 4652506"/>
            <a:gd name="connsiteY3" fmla="*/ 17389 h 7007051"/>
            <a:gd name="connsiteX4" fmla="*/ 1632181 w 4652506"/>
            <a:gd name="connsiteY4" fmla="*/ 0 h 7007051"/>
            <a:gd name="connsiteX5" fmla="*/ 1644235 w 4652506"/>
            <a:gd name="connsiteY5" fmla="*/ 654878 h 7007051"/>
            <a:gd name="connsiteX6" fmla="*/ 1721297 w 4652506"/>
            <a:gd name="connsiteY6" fmla="*/ 795713 h 7007051"/>
            <a:gd name="connsiteX7" fmla="*/ 1632323 w 4652506"/>
            <a:gd name="connsiteY7" fmla="*/ 960913 h 7007051"/>
            <a:gd name="connsiteX8" fmla="*/ 1555131 w 4652506"/>
            <a:gd name="connsiteY8" fmla="*/ 1525409 h 7007051"/>
            <a:gd name="connsiteX9" fmla="*/ 984682 w 4652506"/>
            <a:gd name="connsiteY9" fmla="*/ 2014444 h 7007051"/>
            <a:gd name="connsiteX10" fmla="*/ 1034717 w 4652506"/>
            <a:gd name="connsiteY10" fmla="*/ 2674692 h 7007051"/>
            <a:gd name="connsiteX11" fmla="*/ 1202829 w 4652506"/>
            <a:gd name="connsiteY11" fmla="*/ 2908823 h 7007051"/>
            <a:gd name="connsiteX12" fmla="*/ 1425911 w 4652506"/>
            <a:gd name="connsiteY12" fmla="*/ 3015261 h 7007051"/>
            <a:gd name="connsiteX13" fmla="*/ 1672382 w 4652506"/>
            <a:gd name="connsiteY13" fmla="*/ 3210908 h 7007051"/>
            <a:gd name="connsiteX14" fmla="*/ 1887487 w 4652506"/>
            <a:gd name="connsiteY14" fmla="*/ 3319108 h 7007051"/>
            <a:gd name="connsiteX15" fmla="*/ 2382525 w 4652506"/>
            <a:gd name="connsiteY15" fmla="*/ 3211882 h 7007051"/>
            <a:gd name="connsiteX16" fmla="*/ 2665910 w 4652506"/>
            <a:gd name="connsiteY16" fmla="*/ 2983079 h 7007051"/>
            <a:gd name="connsiteX17" fmla="*/ 2760372 w 4652506"/>
            <a:gd name="connsiteY17" fmla="*/ 3175274 h 7007051"/>
            <a:gd name="connsiteX18" fmla="*/ 2550152 w 4652506"/>
            <a:gd name="connsiteY18" fmla="*/ 3369679 h 7007051"/>
            <a:gd name="connsiteX19" fmla="*/ 2893037 w 4652506"/>
            <a:gd name="connsiteY19" fmla="*/ 3554559 h 7007051"/>
            <a:gd name="connsiteX20" fmla="*/ 3317352 w 4652506"/>
            <a:gd name="connsiteY20" fmla="*/ 3799685 h 7007051"/>
            <a:gd name="connsiteX21" fmla="*/ 3383911 w 4652506"/>
            <a:gd name="connsiteY21" fmla="*/ 4018854 h 7007051"/>
            <a:gd name="connsiteX22" fmla="*/ 3611651 w 4652506"/>
            <a:gd name="connsiteY22" fmla="*/ 4189085 h 7007051"/>
            <a:gd name="connsiteX23" fmla="*/ 3562243 w 4652506"/>
            <a:gd name="connsiteY23" fmla="*/ 4462626 h 7007051"/>
            <a:gd name="connsiteX24" fmla="*/ 3467805 w 4652506"/>
            <a:gd name="connsiteY24" fmla="*/ 4661583 h 7007051"/>
            <a:gd name="connsiteX25" fmla="*/ 3668060 w 4652506"/>
            <a:gd name="connsiteY25" fmla="*/ 4707646 h 7007051"/>
            <a:gd name="connsiteX26" fmla="*/ 3745746 w 4652506"/>
            <a:gd name="connsiteY26" fmla="*/ 4860605 h 7007051"/>
            <a:gd name="connsiteX27" fmla="*/ 3719012 w 4652506"/>
            <a:gd name="connsiteY27" fmla="*/ 5046272 h 7007051"/>
            <a:gd name="connsiteX28" fmla="*/ 4083088 w 4652506"/>
            <a:gd name="connsiteY28" fmla="*/ 5180238 h 7007051"/>
            <a:gd name="connsiteX29" fmla="*/ 4117263 w 4652506"/>
            <a:gd name="connsiteY29" fmla="*/ 5383001 h 7007051"/>
            <a:gd name="connsiteX30" fmla="*/ 4312130 w 4652506"/>
            <a:gd name="connsiteY30" fmla="*/ 5401041 h 7007051"/>
            <a:gd name="connsiteX31" fmla="*/ 4230117 w 4652506"/>
            <a:gd name="connsiteY31" fmla="*/ 5601929 h 7007051"/>
            <a:gd name="connsiteX32" fmla="*/ 4406546 w 4652506"/>
            <a:gd name="connsiteY32" fmla="*/ 5587200 h 7007051"/>
            <a:gd name="connsiteX33" fmla="*/ 4432449 w 4652506"/>
            <a:gd name="connsiteY33" fmla="*/ 5753106 h 7007051"/>
            <a:gd name="connsiteX34" fmla="*/ 4231606 w 4652506"/>
            <a:gd name="connsiteY34" fmla="*/ 5803898 h 7007051"/>
            <a:gd name="connsiteX35" fmla="*/ 3966490 w 4652506"/>
            <a:gd name="connsiteY35" fmla="*/ 6384095 h 7007051"/>
            <a:gd name="connsiteX36" fmla="*/ 4454205 w 4652506"/>
            <a:gd name="connsiteY36" fmla="*/ 7007051 h 7007051"/>
            <a:gd name="connsiteX37" fmla="*/ 12900 w 4652506"/>
            <a:gd name="connsiteY37" fmla="*/ 6992686 h 7007051"/>
            <a:gd name="connsiteX0" fmla="*/ 12900 w 4652506"/>
            <a:gd name="connsiteY0" fmla="*/ 6992686 h 7007051"/>
            <a:gd name="connsiteX1" fmla="*/ 12900 w 4652506"/>
            <a:gd name="connsiteY1" fmla="*/ 2611187 h 7007051"/>
            <a:gd name="connsiteX2" fmla="*/ 4000 w 4652506"/>
            <a:gd name="connsiteY2" fmla="*/ 1239764 h 7007051"/>
            <a:gd name="connsiteX3" fmla="*/ 4000 w 4652506"/>
            <a:gd name="connsiteY3" fmla="*/ 17389 h 7007051"/>
            <a:gd name="connsiteX4" fmla="*/ 1632181 w 4652506"/>
            <a:gd name="connsiteY4" fmla="*/ 0 h 7007051"/>
            <a:gd name="connsiteX5" fmla="*/ 1644235 w 4652506"/>
            <a:gd name="connsiteY5" fmla="*/ 654878 h 7007051"/>
            <a:gd name="connsiteX6" fmla="*/ 1721297 w 4652506"/>
            <a:gd name="connsiteY6" fmla="*/ 795713 h 7007051"/>
            <a:gd name="connsiteX7" fmla="*/ 1632323 w 4652506"/>
            <a:gd name="connsiteY7" fmla="*/ 960913 h 7007051"/>
            <a:gd name="connsiteX8" fmla="*/ 1555131 w 4652506"/>
            <a:gd name="connsiteY8" fmla="*/ 1525409 h 7007051"/>
            <a:gd name="connsiteX9" fmla="*/ 984682 w 4652506"/>
            <a:gd name="connsiteY9" fmla="*/ 2014444 h 7007051"/>
            <a:gd name="connsiteX10" fmla="*/ 1034717 w 4652506"/>
            <a:gd name="connsiteY10" fmla="*/ 2674692 h 7007051"/>
            <a:gd name="connsiteX11" fmla="*/ 1202829 w 4652506"/>
            <a:gd name="connsiteY11" fmla="*/ 2908823 h 7007051"/>
            <a:gd name="connsiteX12" fmla="*/ 1425911 w 4652506"/>
            <a:gd name="connsiteY12" fmla="*/ 3015261 h 7007051"/>
            <a:gd name="connsiteX13" fmla="*/ 1672382 w 4652506"/>
            <a:gd name="connsiteY13" fmla="*/ 3210908 h 7007051"/>
            <a:gd name="connsiteX14" fmla="*/ 1887487 w 4652506"/>
            <a:gd name="connsiteY14" fmla="*/ 3319108 h 7007051"/>
            <a:gd name="connsiteX15" fmla="*/ 2382525 w 4652506"/>
            <a:gd name="connsiteY15" fmla="*/ 3211882 h 7007051"/>
            <a:gd name="connsiteX16" fmla="*/ 2665910 w 4652506"/>
            <a:gd name="connsiteY16" fmla="*/ 2983079 h 7007051"/>
            <a:gd name="connsiteX17" fmla="*/ 2760372 w 4652506"/>
            <a:gd name="connsiteY17" fmla="*/ 3175274 h 7007051"/>
            <a:gd name="connsiteX18" fmla="*/ 2550152 w 4652506"/>
            <a:gd name="connsiteY18" fmla="*/ 3369679 h 7007051"/>
            <a:gd name="connsiteX19" fmla="*/ 2893037 w 4652506"/>
            <a:gd name="connsiteY19" fmla="*/ 3554559 h 7007051"/>
            <a:gd name="connsiteX20" fmla="*/ 3317352 w 4652506"/>
            <a:gd name="connsiteY20" fmla="*/ 3799685 h 7007051"/>
            <a:gd name="connsiteX21" fmla="*/ 3383911 w 4652506"/>
            <a:gd name="connsiteY21" fmla="*/ 4018854 h 7007051"/>
            <a:gd name="connsiteX22" fmla="*/ 3611651 w 4652506"/>
            <a:gd name="connsiteY22" fmla="*/ 4189085 h 7007051"/>
            <a:gd name="connsiteX23" fmla="*/ 3562243 w 4652506"/>
            <a:gd name="connsiteY23" fmla="*/ 4462626 h 7007051"/>
            <a:gd name="connsiteX24" fmla="*/ 3467805 w 4652506"/>
            <a:gd name="connsiteY24" fmla="*/ 4661583 h 7007051"/>
            <a:gd name="connsiteX25" fmla="*/ 3668060 w 4652506"/>
            <a:gd name="connsiteY25" fmla="*/ 4707646 h 7007051"/>
            <a:gd name="connsiteX26" fmla="*/ 3745746 w 4652506"/>
            <a:gd name="connsiteY26" fmla="*/ 4860605 h 7007051"/>
            <a:gd name="connsiteX27" fmla="*/ 3719012 w 4652506"/>
            <a:gd name="connsiteY27" fmla="*/ 5046272 h 7007051"/>
            <a:gd name="connsiteX28" fmla="*/ 4083088 w 4652506"/>
            <a:gd name="connsiteY28" fmla="*/ 5180238 h 7007051"/>
            <a:gd name="connsiteX29" fmla="*/ 4117263 w 4652506"/>
            <a:gd name="connsiteY29" fmla="*/ 5383001 h 7007051"/>
            <a:gd name="connsiteX30" fmla="*/ 4312130 w 4652506"/>
            <a:gd name="connsiteY30" fmla="*/ 5401041 h 7007051"/>
            <a:gd name="connsiteX31" fmla="*/ 4230117 w 4652506"/>
            <a:gd name="connsiteY31" fmla="*/ 5601929 h 7007051"/>
            <a:gd name="connsiteX32" fmla="*/ 4358211 w 4652506"/>
            <a:gd name="connsiteY32" fmla="*/ 5620401 h 7007051"/>
            <a:gd name="connsiteX33" fmla="*/ 4432449 w 4652506"/>
            <a:gd name="connsiteY33" fmla="*/ 5753106 h 7007051"/>
            <a:gd name="connsiteX34" fmla="*/ 4231606 w 4652506"/>
            <a:gd name="connsiteY34" fmla="*/ 5803898 h 7007051"/>
            <a:gd name="connsiteX35" fmla="*/ 3966490 w 4652506"/>
            <a:gd name="connsiteY35" fmla="*/ 6384095 h 7007051"/>
            <a:gd name="connsiteX36" fmla="*/ 4454205 w 4652506"/>
            <a:gd name="connsiteY36" fmla="*/ 7007051 h 7007051"/>
            <a:gd name="connsiteX37" fmla="*/ 12900 w 4652506"/>
            <a:gd name="connsiteY37" fmla="*/ 6992686 h 7007051"/>
            <a:gd name="connsiteX0" fmla="*/ 12900 w 4652506"/>
            <a:gd name="connsiteY0" fmla="*/ 6992686 h 7007051"/>
            <a:gd name="connsiteX1" fmla="*/ 12900 w 4652506"/>
            <a:gd name="connsiteY1" fmla="*/ 2611187 h 7007051"/>
            <a:gd name="connsiteX2" fmla="*/ 4000 w 4652506"/>
            <a:gd name="connsiteY2" fmla="*/ 1239764 h 7007051"/>
            <a:gd name="connsiteX3" fmla="*/ 4000 w 4652506"/>
            <a:gd name="connsiteY3" fmla="*/ 17389 h 7007051"/>
            <a:gd name="connsiteX4" fmla="*/ 1632181 w 4652506"/>
            <a:gd name="connsiteY4" fmla="*/ 0 h 7007051"/>
            <a:gd name="connsiteX5" fmla="*/ 1644235 w 4652506"/>
            <a:gd name="connsiteY5" fmla="*/ 654878 h 7007051"/>
            <a:gd name="connsiteX6" fmla="*/ 1721297 w 4652506"/>
            <a:gd name="connsiteY6" fmla="*/ 795713 h 7007051"/>
            <a:gd name="connsiteX7" fmla="*/ 1632323 w 4652506"/>
            <a:gd name="connsiteY7" fmla="*/ 960913 h 7007051"/>
            <a:gd name="connsiteX8" fmla="*/ 1555131 w 4652506"/>
            <a:gd name="connsiteY8" fmla="*/ 1525409 h 7007051"/>
            <a:gd name="connsiteX9" fmla="*/ 984682 w 4652506"/>
            <a:gd name="connsiteY9" fmla="*/ 2014444 h 7007051"/>
            <a:gd name="connsiteX10" fmla="*/ 1034717 w 4652506"/>
            <a:gd name="connsiteY10" fmla="*/ 2674692 h 7007051"/>
            <a:gd name="connsiteX11" fmla="*/ 1202829 w 4652506"/>
            <a:gd name="connsiteY11" fmla="*/ 2908823 h 7007051"/>
            <a:gd name="connsiteX12" fmla="*/ 1425911 w 4652506"/>
            <a:gd name="connsiteY12" fmla="*/ 3015261 h 7007051"/>
            <a:gd name="connsiteX13" fmla="*/ 1672382 w 4652506"/>
            <a:gd name="connsiteY13" fmla="*/ 3210908 h 7007051"/>
            <a:gd name="connsiteX14" fmla="*/ 1887487 w 4652506"/>
            <a:gd name="connsiteY14" fmla="*/ 3319108 h 7007051"/>
            <a:gd name="connsiteX15" fmla="*/ 2382525 w 4652506"/>
            <a:gd name="connsiteY15" fmla="*/ 3211882 h 7007051"/>
            <a:gd name="connsiteX16" fmla="*/ 2665910 w 4652506"/>
            <a:gd name="connsiteY16" fmla="*/ 2983079 h 7007051"/>
            <a:gd name="connsiteX17" fmla="*/ 2760372 w 4652506"/>
            <a:gd name="connsiteY17" fmla="*/ 3175274 h 7007051"/>
            <a:gd name="connsiteX18" fmla="*/ 2550152 w 4652506"/>
            <a:gd name="connsiteY18" fmla="*/ 3369679 h 7007051"/>
            <a:gd name="connsiteX19" fmla="*/ 2893037 w 4652506"/>
            <a:gd name="connsiteY19" fmla="*/ 3554559 h 7007051"/>
            <a:gd name="connsiteX20" fmla="*/ 3317352 w 4652506"/>
            <a:gd name="connsiteY20" fmla="*/ 3799685 h 7007051"/>
            <a:gd name="connsiteX21" fmla="*/ 3383911 w 4652506"/>
            <a:gd name="connsiteY21" fmla="*/ 4018854 h 7007051"/>
            <a:gd name="connsiteX22" fmla="*/ 3611651 w 4652506"/>
            <a:gd name="connsiteY22" fmla="*/ 4189085 h 7007051"/>
            <a:gd name="connsiteX23" fmla="*/ 3562243 w 4652506"/>
            <a:gd name="connsiteY23" fmla="*/ 4462626 h 7007051"/>
            <a:gd name="connsiteX24" fmla="*/ 3467805 w 4652506"/>
            <a:gd name="connsiteY24" fmla="*/ 4661583 h 7007051"/>
            <a:gd name="connsiteX25" fmla="*/ 3668060 w 4652506"/>
            <a:gd name="connsiteY25" fmla="*/ 4707646 h 7007051"/>
            <a:gd name="connsiteX26" fmla="*/ 3745746 w 4652506"/>
            <a:gd name="connsiteY26" fmla="*/ 4860605 h 7007051"/>
            <a:gd name="connsiteX27" fmla="*/ 3719012 w 4652506"/>
            <a:gd name="connsiteY27" fmla="*/ 5046272 h 7007051"/>
            <a:gd name="connsiteX28" fmla="*/ 4083088 w 4652506"/>
            <a:gd name="connsiteY28" fmla="*/ 5180238 h 7007051"/>
            <a:gd name="connsiteX29" fmla="*/ 4117263 w 4652506"/>
            <a:gd name="connsiteY29" fmla="*/ 5383001 h 7007051"/>
            <a:gd name="connsiteX30" fmla="*/ 4312130 w 4652506"/>
            <a:gd name="connsiteY30" fmla="*/ 5401041 h 7007051"/>
            <a:gd name="connsiteX31" fmla="*/ 4230117 w 4652506"/>
            <a:gd name="connsiteY31" fmla="*/ 5601929 h 7007051"/>
            <a:gd name="connsiteX32" fmla="*/ 4358211 w 4652506"/>
            <a:gd name="connsiteY32" fmla="*/ 5620401 h 7007051"/>
            <a:gd name="connsiteX33" fmla="*/ 4335780 w 4652506"/>
            <a:gd name="connsiteY33" fmla="*/ 5769707 h 7007051"/>
            <a:gd name="connsiteX34" fmla="*/ 4231606 w 4652506"/>
            <a:gd name="connsiteY34" fmla="*/ 5803898 h 7007051"/>
            <a:gd name="connsiteX35" fmla="*/ 3966490 w 4652506"/>
            <a:gd name="connsiteY35" fmla="*/ 6384095 h 7007051"/>
            <a:gd name="connsiteX36" fmla="*/ 4454205 w 4652506"/>
            <a:gd name="connsiteY36" fmla="*/ 7007051 h 7007051"/>
            <a:gd name="connsiteX37" fmla="*/ 12900 w 4652506"/>
            <a:gd name="connsiteY37" fmla="*/ 6992686 h 7007051"/>
            <a:gd name="connsiteX0" fmla="*/ 12900 w 4652506"/>
            <a:gd name="connsiteY0" fmla="*/ 6992686 h 7007051"/>
            <a:gd name="connsiteX1" fmla="*/ 12900 w 4652506"/>
            <a:gd name="connsiteY1" fmla="*/ 2611187 h 7007051"/>
            <a:gd name="connsiteX2" fmla="*/ 4000 w 4652506"/>
            <a:gd name="connsiteY2" fmla="*/ 1239764 h 7007051"/>
            <a:gd name="connsiteX3" fmla="*/ 4000 w 4652506"/>
            <a:gd name="connsiteY3" fmla="*/ 17389 h 7007051"/>
            <a:gd name="connsiteX4" fmla="*/ 1632181 w 4652506"/>
            <a:gd name="connsiteY4" fmla="*/ 0 h 7007051"/>
            <a:gd name="connsiteX5" fmla="*/ 1644235 w 4652506"/>
            <a:gd name="connsiteY5" fmla="*/ 654878 h 7007051"/>
            <a:gd name="connsiteX6" fmla="*/ 1721297 w 4652506"/>
            <a:gd name="connsiteY6" fmla="*/ 795713 h 7007051"/>
            <a:gd name="connsiteX7" fmla="*/ 1632323 w 4652506"/>
            <a:gd name="connsiteY7" fmla="*/ 960913 h 7007051"/>
            <a:gd name="connsiteX8" fmla="*/ 1555131 w 4652506"/>
            <a:gd name="connsiteY8" fmla="*/ 1525409 h 7007051"/>
            <a:gd name="connsiteX9" fmla="*/ 984682 w 4652506"/>
            <a:gd name="connsiteY9" fmla="*/ 2014444 h 7007051"/>
            <a:gd name="connsiteX10" fmla="*/ 1034717 w 4652506"/>
            <a:gd name="connsiteY10" fmla="*/ 2674692 h 7007051"/>
            <a:gd name="connsiteX11" fmla="*/ 1202829 w 4652506"/>
            <a:gd name="connsiteY11" fmla="*/ 2908823 h 7007051"/>
            <a:gd name="connsiteX12" fmla="*/ 1425911 w 4652506"/>
            <a:gd name="connsiteY12" fmla="*/ 3015261 h 7007051"/>
            <a:gd name="connsiteX13" fmla="*/ 1672382 w 4652506"/>
            <a:gd name="connsiteY13" fmla="*/ 3210908 h 7007051"/>
            <a:gd name="connsiteX14" fmla="*/ 1887487 w 4652506"/>
            <a:gd name="connsiteY14" fmla="*/ 3319108 h 7007051"/>
            <a:gd name="connsiteX15" fmla="*/ 2382525 w 4652506"/>
            <a:gd name="connsiteY15" fmla="*/ 3211882 h 7007051"/>
            <a:gd name="connsiteX16" fmla="*/ 2665910 w 4652506"/>
            <a:gd name="connsiteY16" fmla="*/ 2983079 h 7007051"/>
            <a:gd name="connsiteX17" fmla="*/ 2760372 w 4652506"/>
            <a:gd name="connsiteY17" fmla="*/ 3175274 h 7007051"/>
            <a:gd name="connsiteX18" fmla="*/ 2550152 w 4652506"/>
            <a:gd name="connsiteY18" fmla="*/ 3369679 h 7007051"/>
            <a:gd name="connsiteX19" fmla="*/ 2893037 w 4652506"/>
            <a:gd name="connsiteY19" fmla="*/ 3554559 h 7007051"/>
            <a:gd name="connsiteX20" fmla="*/ 3317352 w 4652506"/>
            <a:gd name="connsiteY20" fmla="*/ 3799685 h 7007051"/>
            <a:gd name="connsiteX21" fmla="*/ 3383911 w 4652506"/>
            <a:gd name="connsiteY21" fmla="*/ 4018854 h 7007051"/>
            <a:gd name="connsiteX22" fmla="*/ 3611651 w 4652506"/>
            <a:gd name="connsiteY22" fmla="*/ 4189085 h 7007051"/>
            <a:gd name="connsiteX23" fmla="*/ 3562243 w 4652506"/>
            <a:gd name="connsiteY23" fmla="*/ 4462626 h 7007051"/>
            <a:gd name="connsiteX24" fmla="*/ 3467805 w 4652506"/>
            <a:gd name="connsiteY24" fmla="*/ 4661583 h 7007051"/>
            <a:gd name="connsiteX25" fmla="*/ 3668060 w 4652506"/>
            <a:gd name="connsiteY25" fmla="*/ 4707646 h 7007051"/>
            <a:gd name="connsiteX26" fmla="*/ 3745746 w 4652506"/>
            <a:gd name="connsiteY26" fmla="*/ 4860605 h 7007051"/>
            <a:gd name="connsiteX27" fmla="*/ 3719012 w 4652506"/>
            <a:gd name="connsiteY27" fmla="*/ 5046272 h 7007051"/>
            <a:gd name="connsiteX28" fmla="*/ 4083088 w 4652506"/>
            <a:gd name="connsiteY28" fmla="*/ 5180238 h 7007051"/>
            <a:gd name="connsiteX29" fmla="*/ 4117263 w 4652506"/>
            <a:gd name="connsiteY29" fmla="*/ 5383001 h 7007051"/>
            <a:gd name="connsiteX30" fmla="*/ 4312130 w 4652506"/>
            <a:gd name="connsiteY30" fmla="*/ 5401041 h 7007051"/>
            <a:gd name="connsiteX31" fmla="*/ 4075446 w 4652506"/>
            <a:gd name="connsiteY31" fmla="*/ 5635130 h 7007051"/>
            <a:gd name="connsiteX32" fmla="*/ 4358211 w 4652506"/>
            <a:gd name="connsiteY32" fmla="*/ 5620401 h 7007051"/>
            <a:gd name="connsiteX33" fmla="*/ 4335780 w 4652506"/>
            <a:gd name="connsiteY33" fmla="*/ 5769707 h 7007051"/>
            <a:gd name="connsiteX34" fmla="*/ 4231606 w 4652506"/>
            <a:gd name="connsiteY34" fmla="*/ 5803898 h 7007051"/>
            <a:gd name="connsiteX35" fmla="*/ 3966490 w 4652506"/>
            <a:gd name="connsiteY35" fmla="*/ 6384095 h 7007051"/>
            <a:gd name="connsiteX36" fmla="*/ 4454205 w 4652506"/>
            <a:gd name="connsiteY36" fmla="*/ 7007051 h 7007051"/>
            <a:gd name="connsiteX37" fmla="*/ 12900 w 4652506"/>
            <a:gd name="connsiteY37" fmla="*/ 6992686 h 7007051"/>
            <a:gd name="connsiteX0" fmla="*/ 12900 w 4652506"/>
            <a:gd name="connsiteY0" fmla="*/ 6992686 h 7007051"/>
            <a:gd name="connsiteX1" fmla="*/ 12900 w 4652506"/>
            <a:gd name="connsiteY1" fmla="*/ 2611187 h 7007051"/>
            <a:gd name="connsiteX2" fmla="*/ 4000 w 4652506"/>
            <a:gd name="connsiteY2" fmla="*/ 1239764 h 7007051"/>
            <a:gd name="connsiteX3" fmla="*/ 4000 w 4652506"/>
            <a:gd name="connsiteY3" fmla="*/ 17389 h 7007051"/>
            <a:gd name="connsiteX4" fmla="*/ 1632181 w 4652506"/>
            <a:gd name="connsiteY4" fmla="*/ 0 h 7007051"/>
            <a:gd name="connsiteX5" fmla="*/ 1644235 w 4652506"/>
            <a:gd name="connsiteY5" fmla="*/ 654878 h 7007051"/>
            <a:gd name="connsiteX6" fmla="*/ 1721297 w 4652506"/>
            <a:gd name="connsiteY6" fmla="*/ 795713 h 7007051"/>
            <a:gd name="connsiteX7" fmla="*/ 1632323 w 4652506"/>
            <a:gd name="connsiteY7" fmla="*/ 960913 h 7007051"/>
            <a:gd name="connsiteX8" fmla="*/ 1555131 w 4652506"/>
            <a:gd name="connsiteY8" fmla="*/ 1525409 h 7007051"/>
            <a:gd name="connsiteX9" fmla="*/ 984682 w 4652506"/>
            <a:gd name="connsiteY9" fmla="*/ 2014444 h 7007051"/>
            <a:gd name="connsiteX10" fmla="*/ 1034717 w 4652506"/>
            <a:gd name="connsiteY10" fmla="*/ 2674692 h 7007051"/>
            <a:gd name="connsiteX11" fmla="*/ 1202829 w 4652506"/>
            <a:gd name="connsiteY11" fmla="*/ 2908823 h 7007051"/>
            <a:gd name="connsiteX12" fmla="*/ 1425911 w 4652506"/>
            <a:gd name="connsiteY12" fmla="*/ 3015261 h 7007051"/>
            <a:gd name="connsiteX13" fmla="*/ 1672382 w 4652506"/>
            <a:gd name="connsiteY13" fmla="*/ 3210908 h 7007051"/>
            <a:gd name="connsiteX14" fmla="*/ 1887487 w 4652506"/>
            <a:gd name="connsiteY14" fmla="*/ 3319108 h 7007051"/>
            <a:gd name="connsiteX15" fmla="*/ 2382525 w 4652506"/>
            <a:gd name="connsiteY15" fmla="*/ 3211882 h 7007051"/>
            <a:gd name="connsiteX16" fmla="*/ 2665910 w 4652506"/>
            <a:gd name="connsiteY16" fmla="*/ 2983079 h 7007051"/>
            <a:gd name="connsiteX17" fmla="*/ 2760372 w 4652506"/>
            <a:gd name="connsiteY17" fmla="*/ 3175274 h 7007051"/>
            <a:gd name="connsiteX18" fmla="*/ 2550152 w 4652506"/>
            <a:gd name="connsiteY18" fmla="*/ 3369679 h 7007051"/>
            <a:gd name="connsiteX19" fmla="*/ 2893037 w 4652506"/>
            <a:gd name="connsiteY19" fmla="*/ 3554559 h 7007051"/>
            <a:gd name="connsiteX20" fmla="*/ 3317352 w 4652506"/>
            <a:gd name="connsiteY20" fmla="*/ 3799685 h 7007051"/>
            <a:gd name="connsiteX21" fmla="*/ 3383911 w 4652506"/>
            <a:gd name="connsiteY21" fmla="*/ 4018854 h 7007051"/>
            <a:gd name="connsiteX22" fmla="*/ 3611651 w 4652506"/>
            <a:gd name="connsiteY22" fmla="*/ 4189085 h 7007051"/>
            <a:gd name="connsiteX23" fmla="*/ 3562243 w 4652506"/>
            <a:gd name="connsiteY23" fmla="*/ 4462626 h 7007051"/>
            <a:gd name="connsiteX24" fmla="*/ 3467805 w 4652506"/>
            <a:gd name="connsiteY24" fmla="*/ 4661583 h 7007051"/>
            <a:gd name="connsiteX25" fmla="*/ 3668060 w 4652506"/>
            <a:gd name="connsiteY25" fmla="*/ 4707646 h 7007051"/>
            <a:gd name="connsiteX26" fmla="*/ 3745746 w 4652506"/>
            <a:gd name="connsiteY26" fmla="*/ 4860605 h 7007051"/>
            <a:gd name="connsiteX27" fmla="*/ 3719012 w 4652506"/>
            <a:gd name="connsiteY27" fmla="*/ 5046272 h 7007051"/>
            <a:gd name="connsiteX28" fmla="*/ 4083088 w 4652506"/>
            <a:gd name="connsiteY28" fmla="*/ 5180238 h 7007051"/>
            <a:gd name="connsiteX29" fmla="*/ 4117263 w 4652506"/>
            <a:gd name="connsiteY29" fmla="*/ 5383001 h 7007051"/>
            <a:gd name="connsiteX30" fmla="*/ 4312130 w 4652506"/>
            <a:gd name="connsiteY30" fmla="*/ 5401041 h 7007051"/>
            <a:gd name="connsiteX31" fmla="*/ 4075446 w 4652506"/>
            <a:gd name="connsiteY31" fmla="*/ 5635130 h 7007051"/>
            <a:gd name="connsiteX32" fmla="*/ 4358211 w 4652506"/>
            <a:gd name="connsiteY32" fmla="*/ 5620401 h 7007051"/>
            <a:gd name="connsiteX33" fmla="*/ 4335780 w 4652506"/>
            <a:gd name="connsiteY33" fmla="*/ 5769707 h 7007051"/>
            <a:gd name="connsiteX34" fmla="*/ 4096269 w 4652506"/>
            <a:gd name="connsiteY34" fmla="*/ 5878599 h 7007051"/>
            <a:gd name="connsiteX35" fmla="*/ 3966490 w 4652506"/>
            <a:gd name="connsiteY35" fmla="*/ 6384095 h 7007051"/>
            <a:gd name="connsiteX36" fmla="*/ 4454205 w 4652506"/>
            <a:gd name="connsiteY36" fmla="*/ 7007051 h 7007051"/>
            <a:gd name="connsiteX37" fmla="*/ 12900 w 4652506"/>
            <a:gd name="connsiteY37" fmla="*/ 6992686 h 7007051"/>
            <a:gd name="connsiteX0" fmla="*/ 12900 w 4652506"/>
            <a:gd name="connsiteY0" fmla="*/ 6992686 h 7007051"/>
            <a:gd name="connsiteX1" fmla="*/ 12900 w 4652506"/>
            <a:gd name="connsiteY1" fmla="*/ 2611187 h 7007051"/>
            <a:gd name="connsiteX2" fmla="*/ 4000 w 4652506"/>
            <a:gd name="connsiteY2" fmla="*/ 1239764 h 7007051"/>
            <a:gd name="connsiteX3" fmla="*/ 4000 w 4652506"/>
            <a:gd name="connsiteY3" fmla="*/ 17389 h 7007051"/>
            <a:gd name="connsiteX4" fmla="*/ 1632181 w 4652506"/>
            <a:gd name="connsiteY4" fmla="*/ 0 h 7007051"/>
            <a:gd name="connsiteX5" fmla="*/ 1644235 w 4652506"/>
            <a:gd name="connsiteY5" fmla="*/ 654878 h 7007051"/>
            <a:gd name="connsiteX6" fmla="*/ 1721297 w 4652506"/>
            <a:gd name="connsiteY6" fmla="*/ 795713 h 7007051"/>
            <a:gd name="connsiteX7" fmla="*/ 1632323 w 4652506"/>
            <a:gd name="connsiteY7" fmla="*/ 960913 h 7007051"/>
            <a:gd name="connsiteX8" fmla="*/ 1555131 w 4652506"/>
            <a:gd name="connsiteY8" fmla="*/ 1525409 h 7007051"/>
            <a:gd name="connsiteX9" fmla="*/ 984682 w 4652506"/>
            <a:gd name="connsiteY9" fmla="*/ 2014444 h 7007051"/>
            <a:gd name="connsiteX10" fmla="*/ 1034717 w 4652506"/>
            <a:gd name="connsiteY10" fmla="*/ 2674692 h 7007051"/>
            <a:gd name="connsiteX11" fmla="*/ 1202829 w 4652506"/>
            <a:gd name="connsiteY11" fmla="*/ 2908823 h 7007051"/>
            <a:gd name="connsiteX12" fmla="*/ 1425911 w 4652506"/>
            <a:gd name="connsiteY12" fmla="*/ 3015261 h 7007051"/>
            <a:gd name="connsiteX13" fmla="*/ 1672382 w 4652506"/>
            <a:gd name="connsiteY13" fmla="*/ 3210908 h 7007051"/>
            <a:gd name="connsiteX14" fmla="*/ 1887487 w 4652506"/>
            <a:gd name="connsiteY14" fmla="*/ 3319108 h 7007051"/>
            <a:gd name="connsiteX15" fmla="*/ 2382525 w 4652506"/>
            <a:gd name="connsiteY15" fmla="*/ 3211882 h 7007051"/>
            <a:gd name="connsiteX16" fmla="*/ 2665910 w 4652506"/>
            <a:gd name="connsiteY16" fmla="*/ 2983079 h 7007051"/>
            <a:gd name="connsiteX17" fmla="*/ 2760372 w 4652506"/>
            <a:gd name="connsiteY17" fmla="*/ 3175274 h 7007051"/>
            <a:gd name="connsiteX18" fmla="*/ 2550152 w 4652506"/>
            <a:gd name="connsiteY18" fmla="*/ 3369679 h 7007051"/>
            <a:gd name="connsiteX19" fmla="*/ 2893037 w 4652506"/>
            <a:gd name="connsiteY19" fmla="*/ 3554559 h 7007051"/>
            <a:gd name="connsiteX20" fmla="*/ 3317352 w 4652506"/>
            <a:gd name="connsiteY20" fmla="*/ 3799685 h 7007051"/>
            <a:gd name="connsiteX21" fmla="*/ 3383911 w 4652506"/>
            <a:gd name="connsiteY21" fmla="*/ 4018854 h 7007051"/>
            <a:gd name="connsiteX22" fmla="*/ 3611651 w 4652506"/>
            <a:gd name="connsiteY22" fmla="*/ 4189085 h 7007051"/>
            <a:gd name="connsiteX23" fmla="*/ 3562243 w 4652506"/>
            <a:gd name="connsiteY23" fmla="*/ 4462626 h 7007051"/>
            <a:gd name="connsiteX24" fmla="*/ 3467805 w 4652506"/>
            <a:gd name="connsiteY24" fmla="*/ 4661583 h 7007051"/>
            <a:gd name="connsiteX25" fmla="*/ 3668060 w 4652506"/>
            <a:gd name="connsiteY25" fmla="*/ 4707646 h 7007051"/>
            <a:gd name="connsiteX26" fmla="*/ 3745746 w 4652506"/>
            <a:gd name="connsiteY26" fmla="*/ 4860605 h 7007051"/>
            <a:gd name="connsiteX27" fmla="*/ 3719012 w 4652506"/>
            <a:gd name="connsiteY27" fmla="*/ 5046272 h 7007051"/>
            <a:gd name="connsiteX28" fmla="*/ 4083088 w 4652506"/>
            <a:gd name="connsiteY28" fmla="*/ 5180238 h 7007051"/>
            <a:gd name="connsiteX29" fmla="*/ 4117263 w 4652506"/>
            <a:gd name="connsiteY29" fmla="*/ 5383001 h 7007051"/>
            <a:gd name="connsiteX30" fmla="*/ 4312130 w 4652506"/>
            <a:gd name="connsiteY30" fmla="*/ 5401041 h 7007051"/>
            <a:gd name="connsiteX31" fmla="*/ 4075446 w 4652506"/>
            <a:gd name="connsiteY31" fmla="*/ 5635130 h 7007051"/>
            <a:gd name="connsiteX32" fmla="*/ 4300210 w 4652506"/>
            <a:gd name="connsiteY32" fmla="*/ 5628701 h 7007051"/>
            <a:gd name="connsiteX33" fmla="*/ 4335780 w 4652506"/>
            <a:gd name="connsiteY33" fmla="*/ 5769707 h 7007051"/>
            <a:gd name="connsiteX34" fmla="*/ 4096269 w 4652506"/>
            <a:gd name="connsiteY34" fmla="*/ 5878599 h 7007051"/>
            <a:gd name="connsiteX35" fmla="*/ 3966490 w 4652506"/>
            <a:gd name="connsiteY35" fmla="*/ 6384095 h 7007051"/>
            <a:gd name="connsiteX36" fmla="*/ 4454205 w 4652506"/>
            <a:gd name="connsiteY36" fmla="*/ 7007051 h 7007051"/>
            <a:gd name="connsiteX37" fmla="*/ 12900 w 4652506"/>
            <a:gd name="connsiteY37" fmla="*/ 6992686 h 7007051"/>
            <a:gd name="connsiteX0" fmla="*/ 12900 w 4652506"/>
            <a:gd name="connsiteY0" fmla="*/ 6992686 h 7007051"/>
            <a:gd name="connsiteX1" fmla="*/ 12900 w 4652506"/>
            <a:gd name="connsiteY1" fmla="*/ 2611187 h 7007051"/>
            <a:gd name="connsiteX2" fmla="*/ 4000 w 4652506"/>
            <a:gd name="connsiteY2" fmla="*/ 1239764 h 7007051"/>
            <a:gd name="connsiteX3" fmla="*/ 4000 w 4652506"/>
            <a:gd name="connsiteY3" fmla="*/ 17389 h 7007051"/>
            <a:gd name="connsiteX4" fmla="*/ 1632181 w 4652506"/>
            <a:gd name="connsiteY4" fmla="*/ 0 h 7007051"/>
            <a:gd name="connsiteX5" fmla="*/ 1644235 w 4652506"/>
            <a:gd name="connsiteY5" fmla="*/ 654878 h 7007051"/>
            <a:gd name="connsiteX6" fmla="*/ 1721297 w 4652506"/>
            <a:gd name="connsiteY6" fmla="*/ 795713 h 7007051"/>
            <a:gd name="connsiteX7" fmla="*/ 1632323 w 4652506"/>
            <a:gd name="connsiteY7" fmla="*/ 960913 h 7007051"/>
            <a:gd name="connsiteX8" fmla="*/ 1555131 w 4652506"/>
            <a:gd name="connsiteY8" fmla="*/ 1525409 h 7007051"/>
            <a:gd name="connsiteX9" fmla="*/ 984682 w 4652506"/>
            <a:gd name="connsiteY9" fmla="*/ 2014444 h 7007051"/>
            <a:gd name="connsiteX10" fmla="*/ 1034717 w 4652506"/>
            <a:gd name="connsiteY10" fmla="*/ 2674692 h 7007051"/>
            <a:gd name="connsiteX11" fmla="*/ 1202829 w 4652506"/>
            <a:gd name="connsiteY11" fmla="*/ 2908823 h 7007051"/>
            <a:gd name="connsiteX12" fmla="*/ 1425911 w 4652506"/>
            <a:gd name="connsiteY12" fmla="*/ 3015261 h 7007051"/>
            <a:gd name="connsiteX13" fmla="*/ 1672382 w 4652506"/>
            <a:gd name="connsiteY13" fmla="*/ 3210908 h 7007051"/>
            <a:gd name="connsiteX14" fmla="*/ 1887487 w 4652506"/>
            <a:gd name="connsiteY14" fmla="*/ 3319108 h 7007051"/>
            <a:gd name="connsiteX15" fmla="*/ 2382525 w 4652506"/>
            <a:gd name="connsiteY15" fmla="*/ 3211882 h 7007051"/>
            <a:gd name="connsiteX16" fmla="*/ 2665910 w 4652506"/>
            <a:gd name="connsiteY16" fmla="*/ 2983079 h 7007051"/>
            <a:gd name="connsiteX17" fmla="*/ 2760372 w 4652506"/>
            <a:gd name="connsiteY17" fmla="*/ 3175274 h 7007051"/>
            <a:gd name="connsiteX18" fmla="*/ 2550152 w 4652506"/>
            <a:gd name="connsiteY18" fmla="*/ 3369679 h 7007051"/>
            <a:gd name="connsiteX19" fmla="*/ 2893037 w 4652506"/>
            <a:gd name="connsiteY19" fmla="*/ 3554559 h 7007051"/>
            <a:gd name="connsiteX20" fmla="*/ 3317352 w 4652506"/>
            <a:gd name="connsiteY20" fmla="*/ 3799685 h 7007051"/>
            <a:gd name="connsiteX21" fmla="*/ 3383911 w 4652506"/>
            <a:gd name="connsiteY21" fmla="*/ 4018854 h 7007051"/>
            <a:gd name="connsiteX22" fmla="*/ 3611651 w 4652506"/>
            <a:gd name="connsiteY22" fmla="*/ 4189085 h 7007051"/>
            <a:gd name="connsiteX23" fmla="*/ 3562243 w 4652506"/>
            <a:gd name="connsiteY23" fmla="*/ 4462626 h 7007051"/>
            <a:gd name="connsiteX24" fmla="*/ 3467805 w 4652506"/>
            <a:gd name="connsiteY24" fmla="*/ 4661583 h 7007051"/>
            <a:gd name="connsiteX25" fmla="*/ 3668060 w 4652506"/>
            <a:gd name="connsiteY25" fmla="*/ 4707646 h 7007051"/>
            <a:gd name="connsiteX26" fmla="*/ 3745746 w 4652506"/>
            <a:gd name="connsiteY26" fmla="*/ 4860605 h 7007051"/>
            <a:gd name="connsiteX27" fmla="*/ 3719012 w 4652506"/>
            <a:gd name="connsiteY27" fmla="*/ 5046272 h 7007051"/>
            <a:gd name="connsiteX28" fmla="*/ 4083088 w 4652506"/>
            <a:gd name="connsiteY28" fmla="*/ 5180238 h 7007051"/>
            <a:gd name="connsiteX29" fmla="*/ 4117263 w 4652506"/>
            <a:gd name="connsiteY29" fmla="*/ 5383001 h 7007051"/>
            <a:gd name="connsiteX30" fmla="*/ 4312130 w 4652506"/>
            <a:gd name="connsiteY30" fmla="*/ 5401041 h 7007051"/>
            <a:gd name="connsiteX31" fmla="*/ 4075446 w 4652506"/>
            <a:gd name="connsiteY31" fmla="*/ 5635130 h 7007051"/>
            <a:gd name="connsiteX32" fmla="*/ 4300210 w 4652506"/>
            <a:gd name="connsiteY32" fmla="*/ 5628701 h 7007051"/>
            <a:gd name="connsiteX33" fmla="*/ 4219776 w 4652506"/>
            <a:gd name="connsiteY33" fmla="*/ 5819509 h 7007051"/>
            <a:gd name="connsiteX34" fmla="*/ 4096269 w 4652506"/>
            <a:gd name="connsiteY34" fmla="*/ 5878599 h 7007051"/>
            <a:gd name="connsiteX35" fmla="*/ 3966490 w 4652506"/>
            <a:gd name="connsiteY35" fmla="*/ 6384095 h 7007051"/>
            <a:gd name="connsiteX36" fmla="*/ 4454205 w 4652506"/>
            <a:gd name="connsiteY36" fmla="*/ 7007051 h 7007051"/>
            <a:gd name="connsiteX37" fmla="*/ 12900 w 4652506"/>
            <a:gd name="connsiteY37" fmla="*/ 6992686 h 7007051"/>
            <a:gd name="connsiteX0" fmla="*/ 12900 w 4652506"/>
            <a:gd name="connsiteY0" fmla="*/ 6992686 h 7007051"/>
            <a:gd name="connsiteX1" fmla="*/ 12900 w 4652506"/>
            <a:gd name="connsiteY1" fmla="*/ 2611187 h 7007051"/>
            <a:gd name="connsiteX2" fmla="*/ 4000 w 4652506"/>
            <a:gd name="connsiteY2" fmla="*/ 1239764 h 7007051"/>
            <a:gd name="connsiteX3" fmla="*/ 4000 w 4652506"/>
            <a:gd name="connsiteY3" fmla="*/ 17389 h 7007051"/>
            <a:gd name="connsiteX4" fmla="*/ 1632181 w 4652506"/>
            <a:gd name="connsiteY4" fmla="*/ 0 h 7007051"/>
            <a:gd name="connsiteX5" fmla="*/ 1644235 w 4652506"/>
            <a:gd name="connsiteY5" fmla="*/ 654878 h 7007051"/>
            <a:gd name="connsiteX6" fmla="*/ 1721297 w 4652506"/>
            <a:gd name="connsiteY6" fmla="*/ 795713 h 7007051"/>
            <a:gd name="connsiteX7" fmla="*/ 1632323 w 4652506"/>
            <a:gd name="connsiteY7" fmla="*/ 960913 h 7007051"/>
            <a:gd name="connsiteX8" fmla="*/ 1555131 w 4652506"/>
            <a:gd name="connsiteY8" fmla="*/ 1525409 h 7007051"/>
            <a:gd name="connsiteX9" fmla="*/ 984682 w 4652506"/>
            <a:gd name="connsiteY9" fmla="*/ 2014444 h 7007051"/>
            <a:gd name="connsiteX10" fmla="*/ 1034717 w 4652506"/>
            <a:gd name="connsiteY10" fmla="*/ 2674692 h 7007051"/>
            <a:gd name="connsiteX11" fmla="*/ 1202829 w 4652506"/>
            <a:gd name="connsiteY11" fmla="*/ 2908823 h 7007051"/>
            <a:gd name="connsiteX12" fmla="*/ 1425911 w 4652506"/>
            <a:gd name="connsiteY12" fmla="*/ 3015261 h 7007051"/>
            <a:gd name="connsiteX13" fmla="*/ 1672382 w 4652506"/>
            <a:gd name="connsiteY13" fmla="*/ 3210908 h 7007051"/>
            <a:gd name="connsiteX14" fmla="*/ 1887487 w 4652506"/>
            <a:gd name="connsiteY14" fmla="*/ 3319108 h 7007051"/>
            <a:gd name="connsiteX15" fmla="*/ 2382525 w 4652506"/>
            <a:gd name="connsiteY15" fmla="*/ 3211882 h 7007051"/>
            <a:gd name="connsiteX16" fmla="*/ 2665910 w 4652506"/>
            <a:gd name="connsiteY16" fmla="*/ 2983079 h 7007051"/>
            <a:gd name="connsiteX17" fmla="*/ 2760372 w 4652506"/>
            <a:gd name="connsiteY17" fmla="*/ 3175274 h 7007051"/>
            <a:gd name="connsiteX18" fmla="*/ 2550152 w 4652506"/>
            <a:gd name="connsiteY18" fmla="*/ 3369679 h 7007051"/>
            <a:gd name="connsiteX19" fmla="*/ 2893037 w 4652506"/>
            <a:gd name="connsiteY19" fmla="*/ 3554559 h 7007051"/>
            <a:gd name="connsiteX20" fmla="*/ 3317352 w 4652506"/>
            <a:gd name="connsiteY20" fmla="*/ 3799685 h 7007051"/>
            <a:gd name="connsiteX21" fmla="*/ 3383911 w 4652506"/>
            <a:gd name="connsiteY21" fmla="*/ 4018854 h 7007051"/>
            <a:gd name="connsiteX22" fmla="*/ 3611651 w 4652506"/>
            <a:gd name="connsiteY22" fmla="*/ 4189085 h 7007051"/>
            <a:gd name="connsiteX23" fmla="*/ 3562243 w 4652506"/>
            <a:gd name="connsiteY23" fmla="*/ 4462626 h 7007051"/>
            <a:gd name="connsiteX24" fmla="*/ 3467805 w 4652506"/>
            <a:gd name="connsiteY24" fmla="*/ 4661583 h 7007051"/>
            <a:gd name="connsiteX25" fmla="*/ 3668060 w 4652506"/>
            <a:gd name="connsiteY25" fmla="*/ 4707646 h 7007051"/>
            <a:gd name="connsiteX26" fmla="*/ 3745746 w 4652506"/>
            <a:gd name="connsiteY26" fmla="*/ 4860605 h 7007051"/>
            <a:gd name="connsiteX27" fmla="*/ 3719012 w 4652506"/>
            <a:gd name="connsiteY27" fmla="*/ 5046272 h 7007051"/>
            <a:gd name="connsiteX28" fmla="*/ 4083088 w 4652506"/>
            <a:gd name="connsiteY28" fmla="*/ 5180238 h 7007051"/>
            <a:gd name="connsiteX29" fmla="*/ 4117263 w 4652506"/>
            <a:gd name="connsiteY29" fmla="*/ 5383001 h 7007051"/>
            <a:gd name="connsiteX30" fmla="*/ 4312130 w 4652506"/>
            <a:gd name="connsiteY30" fmla="*/ 5401041 h 7007051"/>
            <a:gd name="connsiteX31" fmla="*/ 4075446 w 4652506"/>
            <a:gd name="connsiteY31" fmla="*/ 5635130 h 7007051"/>
            <a:gd name="connsiteX32" fmla="*/ 4300210 w 4652506"/>
            <a:gd name="connsiteY32" fmla="*/ 5628701 h 7007051"/>
            <a:gd name="connsiteX33" fmla="*/ 4219776 w 4652506"/>
            <a:gd name="connsiteY33" fmla="*/ 5819509 h 7007051"/>
            <a:gd name="connsiteX34" fmla="*/ 4057601 w 4652506"/>
            <a:gd name="connsiteY34" fmla="*/ 5953301 h 7007051"/>
            <a:gd name="connsiteX35" fmla="*/ 3966490 w 4652506"/>
            <a:gd name="connsiteY35" fmla="*/ 6384095 h 7007051"/>
            <a:gd name="connsiteX36" fmla="*/ 4454205 w 4652506"/>
            <a:gd name="connsiteY36" fmla="*/ 7007051 h 7007051"/>
            <a:gd name="connsiteX37" fmla="*/ 12900 w 4652506"/>
            <a:gd name="connsiteY37" fmla="*/ 6992686 h 7007051"/>
            <a:gd name="connsiteX0" fmla="*/ 12900 w 4652506"/>
            <a:gd name="connsiteY0" fmla="*/ 6992686 h 7007051"/>
            <a:gd name="connsiteX1" fmla="*/ 12900 w 4652506"/>
            <a:gd name="connsiteY1" fmla="*/ 2611187 h 7007051"/>
            <a:gd name="connsiteX2" fmla="*/ 4000 w 4652506"/>
            <a:gd name="connsiteY2" fmla="*/ 1239764 h 7007051"/>
            <a:gd name="connsiteX3" fmla="*/ 4000 w 4652506"/>
            <a:gd name="connsiteY3" fmla="*/ 17389 h 7007051"/>
            <a:gd name="connsiteX4" fmla="*/ 1632181 w 4652506"/>
            <a:gd name="connsiteY4" fmla="*/ 0 h 7007051"/>
            <a:gd name="connsiteX5" fmla="*/ 1644235 w 4652506"/>
            <a:gd name="connsiteY5" fmla="*/ 654878 h 7007051"/>
            <a:gd name="connsiteX6" fmla="*/ 1721297 w 4652506"/>
            <a:gd name="connsiteY6" fmla="*/ 795713 h 7007051"/>
            <a:gd name="connsiteX7" fmla="*/ 1632323 w 4652506"/>
            <a:gd name="connsiteY7" fmla="*/ 960913 h 7007051"/>
            <a:gd name="connsiteX8" fmla="*/ 1555131 w 4652506"/>
            <a:gd name="connsiteY8" fmla="*/ 1525409 h 7007051"/>
            <a:gd name="connsiteX9" fmla="*/ 984682 w 4652506"/>
            <a:gd name="connsiteY9" fmla="*/ 2014444 h 7007051"/>
            <a:gd name="connsiteX10" fmla="*/ 1034717 w 4652506"/>
            <a:gd name="connsiteY10" fmla="*/ 2674692 h 7007051"/>
            <a:gd name="connsiteX11" fmla="*/ 1202829 w 4652506"/>
            <a:gd name="connsiteY11" fmla="*/ 2908823 h 7007051"/>
            <a:gd name="connsiteX12" fmla="*/ 1425911 w 4652506"/>
            <a:gd name="connsiteY12" fmla="*/ 3015261 h 7007051"/>
            <a:gd name="connsiteX13" fmla="*/ 1672382 w 4652506"/>
            <a:gd name="connsiteY13" fmla="*/ 3210908 h 7007051"/>
            <a:gd name="connsiteX14" fmla="*/ 1887487 w 4652506"/>
            <a:gd name="connsiteY14" fmla="*/ 3319108 h 7007051"/>
            <a:gd name="connsiteX15" fmla="*/ 2382525 w 4652506"/>
            <a:gd name="connsiteY15" fmla="*/ 3211882 h 7007051"/>
            <a:gd name="connsiteX16" fmla="*/ 2588575 w 4652506"/>
            <a:gd name="connsiteY16" fmla="*/ 3082682 h 7007051"/>
            <a:gd name="connsiteX17" fmla="*/ 2760372 w 4652506"/>
            <a:gd name="connsiteY17" fmla="*/ 3175274 h 7007051"/>
            <a:gd name="connsiteX18" fmla="*/ 2550152 w 4652506"/>
            <a:gd name="connsiteY18" fmla="*/ 3369679 h 7007051"/>
            <a:gd name="connsiteX19" fmla="*/ 2893037 w 4652506"/>
            <a:gd name="connsiteY19" fmla="*/ 3554559 h 7007051"/>
            <a:gd name="connsiteX20" fmla="*/ 3317352 w 4652506"/>
            <a:gd name="connsiteY20" fmla="*/ 3799685 h 7007051"/>
            <a:gd name="connsiteX21" fmla="*/ 3383911 w 4652506"/>
            <a:gd name="connsiteY21" fmla="*/ 4018854 h 7007051"/>
            <a:gd name="connsiteX22" fmla="*/ 3611651 w 4652506"/>
            <a:gd name="connsiteY22" fmla="*/ 4189085 h 7007051"/>
            <a:gd name="connsiteX23" fmla="*/ 3562243 w 4652506"/>
            <a:gd name="connsiteY23" fmla="*/ 4462626 h 7007051"/>
            <a:gd name="connsiteX24" fmla="*/ 3467805 w 4652506"/>
            <a:gd name="connsiteY24" fmla="*/ 4661583 h 7007051"/>
            <a:gd name="connsiteX25" fmla="*/ 3668060 w 4652506"/>
            <a:gd name="connsiteY25" fmla="*/ 4707646 h 7007051"/>
            <a:gd name="connsiteX26" fmla="*/ 3745746 w 4652506"/>
            <a:gd name="connsiteY26" fmla="*/ 4860605 h 7007051"/>
            <a:gd name="connsiteX27" fmla="*/ 3719012 w 4652506"/>
            <a:gd name="connsiteY27" fmla="*/ 5046272 h 7007051"/>
            <a:gd name="connsiteX28" fmla="*/ 4083088 w 4652506"/>
            <a:gd name="connsiteY28" fmla="*/ 5180238 h 7007051"/>
            <a:gd name="connsiteX29" fmla="*/ 4117263 w 4652506"/>
            <a:gd name="connsiteY29" fmla="*/ 5383001 h 7007051"/>
            <a:gd name="connsiteX30" fmla="*/ 4312130 w 4652506"/>
            <a:gd name="connsiteY30" fmla="*/ 5401041 h 7007051"/>
            <a:gd name="connsiteX31" fmla="*/ 4075446 w 4652506"/>
            <a:gd name="connsiteY31" fmla="*/ 5635130 h 7007051"/>
            <a:gd name="connsiteX32" fmla="*/ 4300210 w 4652506"/>
            <a:gd name="connsiteY32" fmla="*/ 5628701 h 7007051"/>
            <a:gd name="connsiteX33" fmla="*/ 4219776 w 4652506"/>
            <a:gd name="connsiteY33" fmla="*/ 5819509 h 7007051"/>
            <a:gd name="connsiteX34" fmla="*/ 4057601 w 4652506"/>
            <a:gd name="connsiteY34" fmla="*/ 5953301 h 7007051"/>
            <a:gd name="connsiteX35" fmla="*/ 3966490 w 4652506"/>
            <a:gd name="connsiteY35" fmla="*/ 6384095 h 7007051"/>
            <a:gd name="connsiteX36" fmla="*/ 4454205 w 4652506"/>
            <a:gd name="connsiteY36" fmla="*/ 7007051 h 7007051"/>
            <a:gd name="connsiteX37" fmla="*/ 12900 w 4652506"/>
            <a:gd name="connsiteY37" fmla="*/ 6992686 h 7007051"/>
            <a:gd name="connsiteX0" fmla="*/ 12900 w 4652506"/>
            <a:gd name="connsiteY0" fmla="*/ 6992686 h 7007051"/>
            <a:gd name="connsiteX1" fmla="*/ 12900 w 4652506"/>
            <a:gd name="connsiteY1" fmla="*/ 2611187 h 7007051"/>
            <a:gd name="connsiteX2" fmla="*/ 4000 w 4652506"/>
            <a:gd name="connsiteY2" fmla="*/ 1239764 h 7007051"/>
            <a:gd name="connsiteX3" fmla="*/ 4000 w 4652506"/>
            <a:gd name="connsiteY3" fmla="*/ 17389 h 7007051"/>
            <a:gd name="connsiteX4" fmla="*/ 1632181 w 4652506"/>
            <a:gd name="connsiteY4" fmla="*/ 0 h 7007051"/>
            <a:gd name="connsiteX5" fmla="*/ 1644235 w 4652506"/>
            <a:gd name="connsiteY5" fmla="*/ 654878 h 7007051"/>
            <a:gd name="connsiteX6" fmla="*/ 1721297 w 4652506"/>
            <a:gd name="connsiteY6" fmla="*/ 795713 h 7007051"/>
            <a:gd name="connsiteX7" fmla="*/ 1632323 w 4652506"/>
            <a:gd name="connsiteY7" fmla="*/ 960913 h 7007051"/>
            <a:gd name="connsiteX8" fmla="*/ 1555131 w 4652506"/>
            <a:gd name="connsiteY8" fmla="*/ 1525409 h 7007051"/>
            <a:gd name="connsiteX9" fmla="*/ 984682 w 4652506"/>
            <a:gd name="connsiteY9" fmla="*/ 2014444 h 7007051"/>
            <a:gd name="connsiteX10" fmla="*/ 1034717 w 4652506"/>
            <a:gd name="connsiteY10" fmla="*/ 2674692 h 7007051"/>
            <a:gd name="connsiteX11" fmla="*/ 1202829 w 4652506"/>
            <a:gd name="connsiteY11" fmla="*/ 2908823 h 7007051"/>
            <a:gd name="connsiteX12" fmla="*/ 1425911 w 4652506"/>
            <a:gd name="connsiteY12" fmla="*/ 3015261 h 7007051"/>
            <a:gd name="connsiteX13" fmla="*/ 1672382 w 4652506"/>
            <a:gd name="connsiteY13" fmla="*/ 3210908 h 7007051"/>
            <a:gd name="connsiteX14" fmla="*/ 1887487 w 4652506"/>
            <a:gd name="connsiteY14" fmla="*/ 3319108 h 7007051"/>
            <a:gd name="connsiteX15" fmla="*/ 2382525 w 4652506"/>
            <a:gd name="connsiteY15" fmla="*/ 3211882 h 7007051"/>
            <a:gd name="connsiteX16" fmla="*/ 2588575 w 4652506"/>
            <a:gd name="connsiteY16" fmla="*/ 3082682 h 7007051"/>
            <a:gd name="connsiteX17" fmla="*/ 2760372 w 4652506"/>
            <a:gd name="connsiteY17" fmla="*/ 3216775 h 7007051"/>
            <a:gd name="connsiteX18" fmla="*/ 2550152 w 4652506"/>
            <a:gd name="connsiteY18" fmla="*/ 3369679 h 7007051"/>
            <a:gd name="connsiteX19" fmla="*/ 2893037 w 4652506"/>
            <a:gd name="connsiteY19" fmla="*/ 3554559 h 7007051"/>
            <a:gd name="connsiteX20" fmla="*/ 3317352 w 4652506"/>
            <a:gd name="connsiteY20" fmla="*/ 3799685 h 7007051"/>
            <a:gd name="connsiteX21" fmla="*/ 3383911 w 4652506"/>
            <a:gd name="connsiteY21" fmla="*/ 4018854 h 7007051"/>
            <a:gd name="connsiteX22" fmla="*/ 3611651 w 4652506"/>
            <a:gd name="connsiteY22" fmla="*/ 4189085 h 7007051"/>
            <a:gd name="connsiteX23" fmla="*/ 3562243 w 4652506"/>
            <a:gd name="connsiteY23" fmla="*/ 4462626 h 7007051"/>
            <a:gd name="connsiteX24" fmla="*/ 3467805 w 4652506"/>
            <a:gd name="connsiteY24" fmla="*/ 4661583 h 7007051"/>
            <a:gd name="connsiteX25" fmla="*/ 3668060 w 4652506"/>
            <a:gd name="connsiteY25" fmla="*/ 4707646 h 7007051"/>
            <a:gd name="connsiteX26" fmla="*/ 3745746 w 4652506"/>
            <a:gd name="connsiteY26" fmla="*/ 4860605 h 7007051"/>
            <a:gd name="connsiteX27" fmla="*/ 3719012 w 4652506"/>
            <a:gd name="connsiteY27" fmla="*/ 5046272 h 7007051"/>
            <a:gd name="connsiteX28" fmla="*/ 4083088 w 4652506"/>
            <a:gd name="connsiteY28" fmla="*/ 5180238 h 7007051"/>
            <a:gd name="connsiteX29" fmla="*/ 4117263 w 4652506"/>
            <a:gd name="connsiteY29" fmla="*/ 5383001 h 7007051"/>
            <a:gd name="connsiteX30" fmla="*/ 4312130 w 4652506"/>
            <a:gd name="connsiteY30" fmla="*/ 5401041 h 7007051"/>
            <a:gd name="connsiteX31" fmla="*/ 4075446 w 4652506"/>
            <a:gd name="connsiteY31" fmla="*/ 5635130 h 7007051"/>
            <a:gd name="connsiteX32" fmla="*/ 4300210 w 4652506"/>
            <a:gd name="connsiteY32" fmla="*/ 5628701 h 7007051"/>
            <a:gd name="connsiteX33" fmla="*/ 4219776 w 4652506"/>
            <a:gd name="connsiteY33" fmla="*/ 5819509 h 7007051"/>
            <a:gd name="connsiteX34" fmla="*/ 4057601 w 4652506"/>
            <a:gd name="connsiteY34" fmla="*/ 5953301 h 7007051"/>
            <a:gd name="connsiteX35" fmla="*/ 3966490 w 4652506"/>
            <a:gd name="connsiteY35" fmla="*/ 6384095 h 7007051"/>
            <a:gd name="connsiteX36" fmla="*/ 4454205 w 4652506"/>
            <a:gd name="connsiteY36" fmla="*/ 7007051 h 7007051"/>
            <a:gd name="connsiteX37" fmla="*/ 12900 w 4652506"/>
            <a:gd name="connsiteY37" fmla="*/ 6992686 h 7007051"/>
            <a:gd name="connsiteX0" fmla="*/ 12900 w 4652506"/>
            <a:gd name="connsiteY0" fmla="*/ 6992686 h 7007051"/>
            <a:gd name="connsiteX1" fmla="*/ 12900 w 4652506"/>
            <a:gd name="connsiteY1" fmla="*/ 2611187 h 7007051"/>
            <a:gd name="connsiteX2" fmla="*/ 4000 w 4652506"/>
            <a:gd name="connsiteY2" fmla="*/ 1239764 h 7007051"/>
            <a:gd name="connsiteX3" fmla="*/ 4000 w 4652506"/>
            <a:gd name="connsiteY3" fmla="*/ 17389 h 7007051"/>
            <a:gd name="connsiteX4" fmla="*/ 1632181 w 4652506"/>
            <a:gd name="connsiteY4" fmla="*/ 0 h 7007051"/>
            <a:gd name="connsiteX5" fmla="*/ 1644235 w 4652506"/>
            <a:gd name="connsiteY5" fmla="*/ 654878 h 7007051"/>
            <a:gd name="connsiteX6" fmla="*/ 1721297 w 4652506"/>
            <a:gd name="connsiteY6" fmla="*/ 795713 h 7007051"/>
            <a:gd name="connsiteX7" fmla="*/ 1632323 w 4652506"/>
            <a:gd name="connsiteY7" fmla="*/ 960913 h 7007051"/>
            <a:gd name="connsiteX8" fmla="*/ 1555131 w 4652506"/>
            <a:gd name="connsiteY8" fmla="*/ 1525409 h 7007051"/>
            <a:gd name="connsiteX9" fmla="*/ 984682 w 4652506"/>
            <a:gd name="connsiteY9" fmla="*/ 2014444 h 7007051"/>
            <a:gd name="connsiteX10" fmla="*/ 1034717 w 4652506"/>
            <a:gd name="connsiteY10" fmla="*/ 2674692 h 7007051"/>
            <a:gd name="connsiteX11" fmla="*/ 1202829 w 4652506"/>
            <a:gd name="connsiteY11" fmla="*/ 2908823 h 7007051"/>
            <a:gd name="connsiteX12" fmla="*/ 1425911 w 4652506"/>
            <a:gd name="connsiteY12" fmla="*/ 3015261 h 7007051"/>
            <a:gd name="connsiteX13" fmla="*/ 1672382 w 4652506"/>
            <a:gd name="connsiteY13" fmla="*/ 3210908 h 7007051"/>
            <a:gd name="connsiteX14" fmla="*/ 1887487 w 4652506"/>
            <a:gd name="connsiteY14" fmla="*/ 3319108 h 7007051"/>
            <a:gd name="connsiteX15" fmla="*/ 2382525 w 4652506"/>
            <a:gd name="connsiteY15" fmla="*/ 3211882 h 7007051"/>
            <a:gd name="connsiteX16" fmla="*/ 2588575 w 4652506"/>
            <a:gd name="connsiteY16" fmla="*/ 3082682 h 7007051"/>
            <a:gd name="connsiteX17" fmla="*/ 2760372 w 4652506"/>
            <a:gd name="connsiteY17" fmla="*/ 3216775 h 7007051"/>
            <a:gd name="connsiteX18" fmla="*/ 2637154 w 4652506"/>
            <a:gd name="connsiteY18" fmla="*/ 3436080 h 7007051"/>
            <a:gd name="connsiteX19" fmla="*/ 2893037 w 4652506"/>
            <a:gd name="connsiteY19" fmla="*/ 3554559 h 7007051"/>
            <a:gd name="connsiteX20" fmla="*/ 3317352 w 4652506"/>
            <a:gd name="connsiteY20" fmla="*/ 3799685 h 7007051"/>
            <a:gd name="connsiteX21" fmla="*/ 3383911 w 4652506"/>
            <a:gd name="connsiteY21" fmla="*/ 4018854 h 7007051"/>
            <a:gd name="connsiteX22" fmla="*/ 3611651 w 4652506"/>
            <a:gd name="connsiteY22" fmla="*/ 4189085 h 7007051"/>
            <a:gd name="connsiteX23" fmla="*/ 3562243 w 4652506"/>
            <a:gd name="connsiteY23" fmla="*/ 4462626 h 7007051"/>
            <a:gd name="connsiteX24" fmla="*/ 3467805 w 4652506"/>
            <a:gd name="connsiteY24" fmla="*/ 4661583 h 7007051"/>
            <a:gd name="connsiteX25" fmla="*/ 3668060 w 4652506"/>
            <a:gd name="connsiteY25" fmla="*/ 4707646 h 7007051"/>
            <a:gd name="connsiteX26" fmla="*/ 3745746 w 4652506"/>
            <a:gd name="connsiteY26" fmla="*/ 4860605 h 7007051"/>
            <a:gd name="connsiteX27" fmla="*/ 3719012 w 4652506"/>
            <a:gd name="connsiteY27" fmla="*/ 5046272 h 7007051"/>
            <a:gd name="connsiteX28" fmla="*/ 4083088 w 4652506"/>
            <a:gd name="connsiteY28" fmla="*/ 5180238 h 7007051"/>
            <a:gd name="connsiteX29" fmla="*/ 4117263 w 4652506"/>
            <a:gd name="connsiteY29" fmla="*/ 5383001 h 7007051"/>
            <a:gd name="connsiteX30" fmla="*/ 4312130 w 4652506"/>
            <a:gd name="connsiteY30" fmla="*/ 5401041 h 7007051"/>
            <a:gd name="connsiteX31" fmla="*/ 4075446 w 4652506"/>
            <a:gd name="connsiteY31" fmla="*/ 5635130 h 7007051"/>
            <a:gd name="connsiteX32" fmla="*/ 4300210 w 4652506"/>
            <a:gd name="connsiteY32" fmla="*/ 5628701 h 7007051"/>
            <a:gd name="connsiteX33" fmla="*/ 4219776 w 4652506"/>
            <a:gd name="connsiteY33" fmla="*/ 5819509 h 7007051"/>
            <a:gd name="connsiteX34" fmla="*/ 4057601 w 4652506"/>
            <a:gd name="connsiteY34" fmla="*/ 5953301 h 7007051"/>
            <a:gd name="connsiteX35" fmla="*/ 3966490 w 4652506"/>
            <a:gd name="connsiteY35" fmla="*/ 6384095 h 7007051"/>
            <a:gd name="connsiteX36" fmla="*/ 4454205 w 4652506"/>
            <a:gd name="connsiteY36" fmla="*/ 7007051 h 7007051"/>
            <a:gd name="connsiteX37" fmla="*/ 12900 w 4652506"/>
            <a:gd name="connsiteY37" fmla="*/ 6992686 h 7007051"/>
            <a:gd name="connsiteX0" fmla="*/ 12900 w 4652506"/>
            <a:gd name="connsiteY0" fmla="*/ 6992686 h 7007051"/>
            <a:gd name="connsiteX1" fmla="*/ 12900 w 4652506"/>
            <a:gd name="connsiteY1" fmla="*/ 2611187 h 7007051"/>
            <a:gd name="connsiteX2" fmla="*/ 4000 w 4652506"/>
            <a:gd name="connsiteY2" fmla="*/ 1239764 h 7007051"/>
            <a:gd name="connsiteX3" fmla="*/ 4000 w 4652506"/>
            <a:gd name="connsiteY3" fmla="*/ 17389 h 7007051"/>
            <a:gd name="connsiteX4" fmla="*/ 1632181 w 4652506"/>
            <a:gd name="connsiteY4" fmla="*/ 0 h 7007051"/>
            <a:gd name="connsiteX5" fmla="*/ 1644235 w 4652506"/>
            <a:gd name="connsiteY5" fmla="*/ 654878 h 7007051"/>
            <a:gd name="connsiteX6" fmla="*/ 1721297 w 4652506"/>
            <a:gd name="connsiteY6" fmla="*/ 795713 h 7007051"/>
            <a:gd name="connsiteX7" fmla="*/ 1632323 w 4652506"/>
            <a:gd name="connsiteY7" fmla="*/ 960913 h 7007051"/>
            <a:gd name="connsiteX8" fmla="*/ 1555131 w 4652506"/>
            <a:gd name="connsiteY8" fmla="*/ 1525409 h 7007051"/>
            <a:gd name="connsiteX9" fmla="*/ 984682 w 4652506"/>
            <a:gd name="connsiteY9" fmla="*/ 2014444 h 7007051"/>
            <a:gd name="connsiteX10" fmla="*/ 1034717 w 4652506"/>
            <a:gd name="connsiteY10" fmla="*/ 2674692 h 7007051"/>
            <a:gd name="connsiteX11" fmla="*/ 1202829 w 4652506"/>
            <a:gd name="connsiteY11" fmla="*/ 2908823 h 7007051"/>
            <a:gd name="connsiteX12" fmla="*/ 1425911 w 4652506"/>
            <a:gd name="connsiteY12" fmla="*/ 3015261 h 7007051"/>
            <a:gd name="connsiteX13" fmla="*/ 1672382 w 4652506"/>
            <a:gd name="connsiteY13" fmla="*/ 3210908 h 7007051"/>
            <a:gd name="connsiteX14" fmla="*/ 1887487 w 4652506"/>
            <a:gd name="connsiteY14" fmla="*/ 3319108 h 7007051"/>
            <a:gd name="connsiteX15" fmla="*/ 2305190 w 4652506"/>
            <a:gd name="connsiteY15" fmla="*/ 3170381 h 7007051"/>
            <a:gd name="connsiteX16" fmla="*/ 2588575 w 4652506"/>
            <a:gd name="connsiteY16" fmla="*/ 3082682 h 7007051"/>
            <a:gd name="connsiteX17" fmla="*/ 2760372 w 4652506"/>
            <a:gd name="connsiteY17" fmla="*/ 3216775 h 7007051"/>
            <a:gd name="connsiteX18" fmla="*/ 2637154 w 4652506"/>
            <a:gd name="connsiteY18" fmla="*/ 3436080 h 7007051"/>
            <a:gd name="connsiteX19" fmla="*/ 2893037 w 4652506"/>
            <a:gd name="connsiteY19" fmla="*/ 3554559 h 7007051"/>
            <a:gd name="connsiteX20" fmla="*/ 3317352 w 4652506"/>
            <a:gd name="connsiteY20" fmla="*/ 3799685 h 7007051"/>
            <a:gd name="connsiteX21" fmla="*/ 3383911 w 4652506"/>
            <a:gd name="connsiteY21" fmla="*/ 4018854 h 7007051"/>
            <a:gd name="connsiteX22" fmla="*/ 3611651 w 4652506"/>
            <a:gd name="connsiteY22" fmla="*/ 4189085 h 7007051"/>
            <a:gd name="connsiteX23" fmla="*/ 3562243 w 4652506"/>
            <a:gd name="connsiteY23" fmla="*/ 4462626 h 7007051"/>
            <a:gd name="connsiteX24" fmla="*/ 3467805 w 4652506"/>
            <a:gd name="connsiteY24" fmla="*/ 4661583 h 7007051"/>
            <a:gd name="connsiteX25" fmla="*/ 3668060 w 4652506"/>
            <a:gd name="connsiteY25" fmla="*/ 4707646 h 7007051"/>
            <a:gd name="connsiteX26" fmla="*/ 3745746 w 4652506"/>
            <a:gd name="connsiteY26" fmla="*/ 4860605 h 7007051"/>
            <a:gd name="connsiteX27" fmla="*/ 3719012 w 4652506"/>
            <a:gd name="connsiteY27" fmla="*/ 5046272 h 7007051"/>
            <a:gd name="connsiteX28" fmla="*/ 4083088 w 4652506"/>
            <a:gd name="connsiteY28" fmla="*/ 5180238 h 7007051"/>
            <a:gd name="connsiteX29" fmla="*/ 4117263 w 4652506"/>
            <a:gd name="connsiteY29" fmla="*/ 5383001 h 7007051"/>
            <a:gd name="connsiteX30" fmla="*/ 4312130 w 4652506"/>
            <a:gd name="connsiteY30" fmla="*/ 5401041 h 7007051"/>
            <a:gd name="connsiteX31" fmla="*/ 4075446 w 4652506"/>
            <a:gd name="connsiteY31" fmla="*/ 5635130 h 7007051"/>
            <a:gd name="connsiteX32" fmla="*/ 4300210 w 4652506"/>
            <a:gd name="connsiteY32" fmla="*/ 5628701 h 7007051"/>
            <a:gd name="connsiteX33" fmla="*/ 4219776 w 4652506"/>
            <a:gd name="connsiteY33" fmla="*/ 5819509 h 7007051"/>
            <a:gd name="connsiteX34" fmla="*/ 4057601 w 4652506"/>
            <a:gd name="connsiteY34" fmla="*/ 5953301 h 7007051"/>
            <a:gd name="connsiteX35" fmla="*/ 3966490 w 4652506"/>
            <a:gd name="connsiteY35" fmla="*/ 6384095 h 7007051"/>
            <a:gd name="connsiteX36" fmla="*/ 4454205 w 4652506"/>
            <a:gd name="connsiteY36" fmla="*/ 7007051 h 7007051"/>
            <a:gd name="connsiteX37" fmla="*/ 12900 w 4652506"/>
            <a:gd name="connsiteY37" fmla="*/ 6992686 h 7007051"/>
            <a:gd name="connsiteX0" fmla="*/ 12900 w 4652506"/>
            <a:gd name="connsiteY0" fmla="*/ 6992686 h 7007051"/>
            <a:gd name="connsiteX1" fmla="*/ 12900 w 4652506"/>
            <a:gd name="connsiteY1" fmla="*/ 2611187 h 7007051"/>
            <a:gd name="connsiteX2" fmla="*/ 4000 w 4652506"/>
            <a:gd name="connsiteY2" fmla="*/ 1239764 h 7007051"/>
            <a:gd name="connsiteX3" fmla="*/ 4000 w 4652506"/>
            <a:gd name="connsiteY3" fmla="*/ 17389 h 7007051"/>
            <a:gd name="connsiteX4" fmla="*/ 1632181 w 4652506"/>
            <a:gd name="connsiteY4" fmla="*/ 0 h 7007051"/>
            <a:gd name="connsiteX5" fmla="*/ 1644235 w 4652506"/>
            <a:gd name="connsiteY5" fmla="*/ 654878 h 7007051"/>
            <a:gd name="connsiteX6" fmla="*/ 1721297 w 4652506"/>
            <a:gd name="connsiteY6" fmla="*/ 795713 h 7007051"/>
            <a:gd name="connsiteX7" fmla="*/ 1632323 w 4652506"/>
            <a:gd name="connsiteY7" fmla="*/ 960913 h 7007051"/>
            <a:gd name="connsiteX8" fmla="*/ 1555131 w 4652506"/>
            <a:gd name="connsiteY8" fmla="*/ 1525409 h 7007051"/>
            <a:gd name="connsiteX9" fmla="*/ 984682 w 4652506"/>
            <a:gd name="connsiteY9" fmla="*/ 2014444 h 7007051"/>
            <a:gd name="connsiteX10" fmla="*/ 1034717 w 4652506"/>
            <a:gd name="connsiteY10" fmla="*/ 2674692 h 7007051"/>
            <a:gd name="connsiteX11" fmla="*/ 1202829 w 4652506"/>
            <a:gd name="connsiteY11" fmla="*/ 2908823 h 7007051"/>
            <a:gd name="connsiteX12" fmla="*/ 1425911 w 4652506"/>
            <a:gd name="connsiteY12" fmla="*/ 3015261 h 7007051"/>
            <a:gd name="connsiteX13" fmla="*/ 1672382 w 4652506"/>
            <a:gd name="connsiteY13" fmla="*/ 3210908 h 7007051"/>
            <a:gd name="connsiteX14" fmla="*/ 1887487 w 4652506"/>
            <a:gd name="connsiteY14" fmla="*/ 3319108 h 7007051"/>
            <a:gd name="connsiteX15" fmla="*/ 2305190 w 4652506"/>
            <a:gd name="connsiteY15" fmla="*/ 3170381 h 7007051"/>
            <a:gd name="connsiteX16" fmla="*/ 2549908 w 4652506"/>
            <a:gd name="connsiteY16" fmla="*/ 3032881 h 7007051"/>
            <a:gd name="connsiteX17" fmla="*/ 2760372 w 4652506"/>
            <a:gd name="connsiteY17" fmla="*/ 3216775 h 7007051"/>
            <a:gd name="connsiteX18" fmla="*/ 2637154 w 4652506"/>
            <a:gd name="connsiteY18" fmla="*/ 3436080 h 7007051"/>
            <a:gd name="connsiteX19" fmla="*/ 2893037 w 4652506"/>
            <a:gd name="connsiteY19" fmla="*/ 3554559 h 7007051"/>
            <a:gd name="connsiteX20" fmla="*/ 3317352 w 4652506"/>
            <a:gd name="connsiteY20" fmla="*/ 3799685 h 7007051"/>
            <a:gd name="connsiteX21" fmla="*/ 3383911 w 4652506"/>
            <a:gd name="connsiteY21" fmla="*/ 4018854 h 7007051"/>
            <a:gd name="connsiteX22" fmla="*/ 3611651 w 4652506"/>
            <a:gd name="connsiteY22" fmla="*/ 4189085 h 7007051"/>
            <a:gd name="connsiteX23" fmla="*/ 3562243 w 4652506"/>
            <a:gd name="connsiteY23" fmla="*/ 4462626 h 7007051"/>
            <a:gd name="connsiteX24" fmla="*/ 3467805 w 4652506"/>
            <a:gd name="connsiteY24" fmla="*/ 4661583 h 7007051"/>
            <a:gd name="connsiteX25" fmla="*/ 3668060 w 4652506"/>
            <a:gd name="connsiteY25" fmla="*/ 4707646 h 7007051"/>
            <a:gd name="connsiteX26" fmla="*/ 3745746 w 4652506"/>
            <a:gd name="connsiteY26" fmla="*/ 4860605 h 7007051"/>
            <a:gd name="connsiteX27" fmla="*/ 3719012 w 4652506"/>
            <a:gd name="connsiteY27" fmla="*/ 5046272 h 7007051"/>
            <a:gd name="connsiteX28" fmla="*/ 4083088 w 4652506"/>
            <a:gd name="connsiteY28" fmla="*/ 5180238 h 7007051"/>
            <a:gd name="connsiteX29" fmla="*/ 4117263 w 4652506"/>
            <a:gd name="connsiteY29" fmla="*/ 5383001 h 7007051"/>
            <a:gd name="connsiteX30" fmla="*/ 4312130 w 4652506"/>
            <a:gd name="connsiteY30" fmla="*/ 5401041 h 7007051"/>
            <a:gd name="connsiteX31" fmla="*/ 4075446 w 4652506"/>
            <a:gd name="connsiteY31" fmla="*/ 5635130 h 7007051"/>
            <a:gd name="connsiteX32" fmla="*/ 4300210 w 4652506"/>
            <a:gd name="connsiteY32" fmla="*/ 5628701 h 7007051"/>
            <a:gd name="connsiteX33" fmla="*/ 4219776 w 4652506"/>
            <a:gd name="connsiteY33" fmla="*/ 5819509 h 7007051"/>
            <a:gd name="connsiteX34" fmla="*/ 4057601 w 4652506"/>
            <a:gd name="connsiteY34" fmla="*/ 5953301 h 7007051"/>
            <a:gd name="connsiteX35" fmla="*/ 3966490 w 4652506"/>
            <a:gd name="connsiteY35" fmla="*/ 6384095 h 7007051"/>
            <a:gd name="connsiteX36" fmla="*/ 4454205 w 4652506"/>
            <a:gd name="connsiteY36" fmla="*/ 7007051 h 7007051"/>
            <a:gd name="connsiteX37" fmla="*/ 12900 w 4652506"/>
            <a:gd name="connsiteY37" fmla="*/ 6992686 h 7007051"/>
            <a:gd name="connsiteX0" fmla="*/ 12900 w 4652506"/>
            <a:gd name="connsiteY0" fmla="*/ 6992686 h 7007051"/>
            <a:gd name="connsiteX1" fmla="*/ 12900 w 4652506"/>
            <a:gd name="connsiteY1" fmla="*/ 2611187 h 7007051"/>
            <a:gd name="connsiteX2" fmla="*/ 4000 w 4652506"/>
            <a:gd name="connsiteY2" fmla="*/ 1239764 h 7007051"/>
            <a:gd name="connsiteX3" fmla="*/ 4000 w 4652506"/>
            <a:gd name="connsiteY3" fmla="*/ 17389 h 7007051"/>
            <a:gd name="connsiteX4" fmla="*/ 1632181 w 4652506"/>
            <a:gd name="connsiteY4" fmla="*/ 0 h 7007051"/>
            <a:gd name="connsiteX5" fmla="*/ 1644235 w 4652506"/>
            <a:gd name="connsiteY5" fmla="*/ 654878 h 7007051"/>
            <a:gd name="connsiteX6" fmla="*/ 1721297 w 4652506"/>
            <a:gd name="connsiteY6" fmla="*/ 795713 h 7007051"/>
            <a:gd name="connsiteX7" fmla="*/ 1632323 w 4652506"/>
            <a:gd name="connsiteY7" fmla="*/ 960913 h 7007051"/>
            <a:gd name="connsiteX8" fmla="*/ 1555131 w 4652506"/>
            <a:gd name="connsiteY8" fmla="*/ 1525409 h 7007051"/>
            <a:gd name="connsiteX9" fmla="*/ 984682 w 4652506"/>
            <a:gd name="connsiteY9" fmla="*/ 2014444 h 7007051"/>
            <a:gd name="connsiteX10" fmla="*/ 1034717 w 4652506"/>
            <a:gd name="connsiteY10" fmla="*/ 2674692 h 7007051"/>
            <a:gd name="connsiteX11" fmla="*/ 1202829 w 4652506"/>
            <a:gd name="connsiteY11" fmla="*/ 2908823 h 7007051"/>
            <a:gd name="connsiteX12" fmla="*/ 1425911 w 4652506"/>
            <a:gd name="connsiteY12" fmla="*/ 3015261 h 7007051"/>
            <a:gd name="connsiteX13" fmla="*/ 1672382 w 4652506"/>
            <a:gd name="connsiteY13" fmla="*/ 3210908 h 7007051"/>
            <a:gd name="connsiteX14" fmla="*/ 1887487 w 4652506"/>
            <a:gd name="connsiteY14" fmla="*/ 3319108 h 7007051"/>
            <a:gd name="connsiteX15" fmla="*/ 2305190 w 4652506"/>
            <a:gd name="connsiteY15" fmla="*/ 3170381 h 7007051"/>
            <a:gd name="connsiteX16" fmla="*/ 2549908 w 4652506"/>
            <a:gd name="connsiteY16" fmla="*/ 3032881 h 7007051"/>
            <a:gd name="connsiteX17" fmla="*/ 2596033 w 4652506"/>
            <a:gd name="connsiteY17" fmla="*/ 3283177 h 7007051"/>
            <a:gd name="connsiteX18" fmla="*/ 2637154 w 4652506"/>
            <a:gd name="connsiteY18" fmla="*/ 3436080 h 7007051"/>
            <a:gd name="connsiteX19" fmla="*/ 2893037 w 4652506"/>
            <a:gd name="connsiteY19" fmla="*/ 3554559 h 7007051"/>
            <a:gd name="connsiteX20" fmla="*/ 3317352 w 4652506"/>
            <a:gd name="connsiteY20" fmla="*/ 3799685 h 7007051"/>
            <a:gd name="connsiteX21" fmla="*/ 3383911 w 4652506"/>
            <a:gd name="connsiteY21" fmla="*/ 4018854 h 7007051"/>
            <a:gd name="connsiteX22" fmla="*/ 3611651 w 4652506"/>
            <a:gd name="connsiteY22" fmla="*/ 4189085 h 7007051"/>
            <a:gd name="connsiteX23" fmla="*/ 3562243 w 4652506"/>
            <a:gd name="connsiteY23" fmla="*/ 4462626 h 7007051"/>
            <a:gd name="connsiteX24" fmla="*/ 3467805 w 4652506"/>
            <a:gd name="connsiteY24" fmla="*/ 4661583 h 7007051"/>
            <a:gd name="connsiteX25" fmla="*/ 3668060 w 4652506"/>
            <a:gd name="connsiteY25" fmla="*/ 4707646 h 7007051"/>
            <a:gd name="connsiteX26" fmla="*/ 3745746 w 4652506"/>
            <a:gd name="connsiteY26" fmla="*/ 4860605 h 7007051"/>
            <a:gd name="connsiteX27" fmla="*/ 3719012 w 4652506"/>
            <a:gd name="connsiteY27" fmla="*/ 5046272 h 7007051"/>
            <a:gd name="connsiteX28" fmla="*/ 4083088 w 4652506"/>
            <a:gd name="connsiteY28" fmla="*/ 5180238 h 7007051"/>
            <a:gd name="connsiteX29" fmla="*/ 4117263 w 4652506"/>
            <a:gd name="connsiteY29" fmla="*/ 5383001 h 7007051"/>
            <a:gd name="connsiteX30" fmla="*/ 4312130 w 4652506"/>
            <a:gd name="connsiteY30" fmla="*/ 5401041 h 7007051"/>
            <a:gd name="connsiteX31" fmla="*/ 4075446 w 4652506"/>
            <a:gd name="connsiteY31" fmla="*/ 5635130 h 7007051"/>
            <a:gd name="connsiteX32" fmla="*/ 4300210 w 4652506"/>
            <a:gd name="connsiteY32" fmla="*/ 5628701 h 7007051"/>
            <a:gd name="connsiteX33" fmla="*/ 4219776 w 4652506"/>
            <a:gd name="connsiteY33" fmla="*/ 5819509 h 7007051"/>
            <a:gd name="connsiteX34" fmla="*/ 4057601 w 4652506"/>
            <a:gd name="connsiteY34" fmla="*/ 5953301 h 7007051"/>
            <a:gd name="connsiteX35" fmla="*/ 3966490 w 4652506"/>
            <a:gd name="connsiteY35" fmla="*/ 6384095 h 7007051"/>
            <a:gd name="connsiteX36" fmla="*/ 4454205 w 4652506"/>
            <a:gd name="connsiteY36" fmla="*/ 7007051 h 7007051"/>
            <a:gd name="connsiteX37" fmla="*/ 12900 w 4652506"/>
            <a:gd name="connsiteY37" fmla="*/ 6992686 h 7007051"/>
            <a:gd name="connsiteX0" fmla="*/ 12900 w 4652506"/>
            <a:gd name="connsiteY0" fmla="*/ 6992686 h 7007051"/>
            <a:gd name="connsiteX1" fmla="*/ 12900 w 4652506"/>
            <a:gd name="connsiteY1" fmla="*/ 2611187 h 7007051"/>
            <a:gd name="connsiteX2" fmla="*/ 4000 w 4652506"/>
            <a:gd name="connsiteY2" fmla="*/ 1239764 h 7007051"/>
            <a:gd name="connsiteX3" fmla="*/ 4000 w 4652506"/>
            <a:gd name="connsiteY3" fmla="*/ 17389 h 7007051"/>
            <a:gd name="connsiteX4" fmla="*/ 1632181 w 4652506"/>
            <a:gd name="connsiteY4" fmla="*/ 0 h 7007051"/>
            <a:gd name="connsiteX5" fmla="*/ 1644235 w 4652506"/>
            <a:gd name="connsiteY5" fmla="*/ 654878 h 7007051"/>
            <a:gd name="connsiteX6" fmla="*/ 1721297 w 4652506"/>
            <a:gd name="connsiteY6" fmla="*/ 795713 h 7007051"/>
            <a:gd name="connsiteX7" fmla="*/ 1632323 w 4652506"/>
            <a:gd name="connsiteY7" fmla="*/ 960913 h 7007051"/>
            <a:gd name="connsiteX8" fmla="*/ 1555131 w 4652506"/>
            <a:gd name="connsiteY8" fmla="*/ 1525409 h 7007051"/>
            <a:gd name="connsiteX9" fmla="*/ 984682 w 4652506"/>
            <a:gd name="connsiteY9" fmla="*/ 2014444 h 7007051"/>
            <a:gd name="connsiteX10" fmla="*/ 1034717 w 4652506"/>
            <a:gd name="connsiteY10" fmla="*/ 2674692 h 7007051"/>
            <a:gd name="connsiteX11" fmla="*/ 1202829 w 4652506"/>
            <a:gd name="connsiteY11" fmla="*/ 2908823 h 7007051"/>
            <a:gd name="connsiteX12" fmla="*/ 1425911 w 4652506"/>
            <a:gd name="connsiteY12" fmla="*/ 3015261 h 7007051"/>
            <a:gd name="connsiteX13" fmla="*/ 1672382 w 4652506"/>
            <a:gd name="connsiteY13" fmla="*/ 3210908 h 7007051"/>
            <a:gd name="connsiteX14" fmla="*/ 1887487 w 4652506"/>
            <a:gd name="connsiteY14" fmla="*/ 3319108 h 7007051"/>
            <a:gd name="connsiteX15" fmla="*/ 2305190 w 4652506"/>
            <a:gd name="connsiteY15" fmla="*/ 3170381 h 7007051"/>
            <a:gd name="connsiteX16" fmla="*/ 2633873 w 4652506"/>
            <a:gd name="connsiteY16" fmla="*/ 3078643 h 7007051"/>
            <a:gd name="connsiteX17" fmla="*/ 2596033 w 4652506"/>
            <a:gd name="connsiteY17" fmla="*/ 3283177 h 7007051"/>
            <a:gd name="connsiteX18" fmla="*/ 2637154 w 4652506"/>
            <a:gd name="connsiteY18" fmla="*/ 3436080 h 7007051"/>
            <a:gd name="connsiteX19" fmla="*/ 2893037 w 4652506"/>
            <a:gd name="connsiteY19" fmla="*/ 3554559 h 7007051"/>
            <a:gd name="connsiteX20" fmla="*/ 3317352 w 4652506"/>
            <a:gd name="connsiteY20" fmla="*/ 3799685 h 7007051"/>
            <a:gd name="connsiteX21" fmla="*/ 3383911 w 4652506"/>
            <a:gd name="connsiteY21" fmla="*/ 4018854 h 7007051"/>
            <a:gd name="connsiteX22" fmla="*/ 3611651 w 4652506"/>
            <a:gd name="connsiteY22" fmla="*/ 4189085 h 7007051"/>
            <a:gd name="connsiteX23" fmla="*/ 3562243 w 4652506"/>
            <a:gd name="connsiteY23" fmla="*/ 4462626 h 7007051"/>
            <a:gd name="connsiteX24" fmla="*/ 3467805 w 4652506"/>
            <a:gd name="connsiteY24" fmla="*/ 4661583 h 7007051"/>
            <a:gd name="connsiteX25" fmla="*/ 3668060 w 4652506"/>
            <a:gd name="connsiteY25" fmla="*/ 4707646 h 7007051"/>
            <a:gd name="connsiteX26" fmla="*/ 3745746 w 4652506"/>
            <a:gd name="connsiteY26" fmla="*/ 4860605 h 7007051"/>
            <a:gd name="connsiteX27" fmla="*/ 3719012 w 4652506"/>
            <a:gd name="connsiteY27" fmla="*/ 5046272 h 7007051"/>
            <a:gd name="connsiteX28" fmla="*/ 4083088 w 4652506"/>
            <a:gd name="connsiteY28" fmla="*/ 5180238 h 7007051"/>
            <a:gd name="connsiteX29" fmla="*/ 4117263 w 4652506"/>
            <a:gd name="connsiteY29" fmla="*/ 5383001 h 7007051"/>
            <a:gd name="connsiteX30" fmla="*/ 4312130 w 4652506"/>
            <a:gd name="connsiteY30" fmla="*/ 5401041 h 7007051"/>
            <a:gd name="connsiteX31" fmla="*/ 4075446 w 4652506"/>
            <a:gd name="connsiteY31" fmla="*/ 5635130 h 7007051"/>
            <a:gd name="connsiteX32" fmla="*/ 4300210 w 4652506"/>
            <a:gd name="connsiteY32" fmla="*/ 5628701 h 7007051"/>
            <a:gd name="connsiteX33" fmla="*/ 4219776 w 4652506"/>
            <a:gd name="connsiteY33" fmla="*/ 5819509 h 7007051"/>
            <a:gd name="connsiteX34" fmla="*/ 4057601 w 4652506"/>
            <a:gd name="connsiteY34" fmla="*/ 5953301 h 7007051"/>
            <a:gd name="connsiteX35" fmla="*/ 3966490 w 4652506"/>
            <a:gd name="connsiteY35" fmla="*/ 6384095 h 7007051"/>
            <a:gd name="connsiteX36" fmla="*/ 4454205 w 4652506"/>
            <a:gd name="connsiteY36" fmla="*/ 7007051 h 7007051"/>
            <a:gd name="connsiteX37" fmla="*/ 12900 w 4652506"/>
            <a:gd name="connsiteY37" fmla="*/ 6992686 h 7007051"/>
            <a:gd name="connsiteX0" fmla="*/ 12900 w 4652506"/>
            <a:gd name="connsiteY0" fmla="*/ 6992686 h 7007051"/>
            <a:gd name="connsiteX1" fmla="*/ 12900 w 4652506"/>
            <a:gd name="connsiteY1" fmla="*/ 2611187 h 7007051"/>
            <a:gd name="connsiteX2" fmla="*/ 4000 w 4652506"/>
            <a:gd name="connsiteY2" fmla="*/ 1239764 h 7007051"/>
            <a:gd name="connsiteX3" fmla="*/ 4000 w 4652506"/>
            <a:gd name="connsiteY3" fmla="*/ 17389 h 7007051"/>
            <a:gd name="connsiteX4" fmla="*/ 1632181 w 4652506"/>
            <a:gd name="connsiteY4" fmla="*/ 0 h 7007051"/>
            <a:gd name="connsiteX5" fmla="*/ 1644235 w 4652506"/>
            <a:gd name="connsiteY5" fmla="*/ 654878 h 7007051"/>
            <a:gd name="connsiteX6" fmla="*/ 1721297 w 4652506"/>
            <a:gd name="connsiteY6" fmla="*/ 795713 h 7007051"/>
            <a:gd name="connsiteX7" fmla="*/ 1632323 w 4652506"/>
            <a:gd name="connsiteY7" fmla="*/ 960913 h 7007051"/>
            <a:gd name="connsiteX8" fmla="*/ 1555131 w 4652506"/>
            <a:gd name="connsiteY8" fmla="*/ 1525409 h 7007051"/>
            <a:gd name="connsiteX9" fmla="*/ 984682 w 4652506"/>
            <a:gd name="connsiteY9" fmla="*/ 2014444 h 7007051"/>
            <a:gd name="connsiteX10" fmla="*/ 1034717 w 4652506"/>
            <a:gd name="connsiteY10" fmla="*/ 2674692 h 7007051"/>
            <a:gd name="connsiteX11" fmla="*/ 1202829 w 4652506"/>
            <a:gd name="connsiteY11" fmla="*/ 2908823 h 7007051"/>
            <a:gd name="connsiteX12" fmla="*/ 1425911 w 4652506"/>
            <a:gd name="connsiteY12" fmla="*/ 3015261 h 7007051"/>
            <a:gd name="connsiteX13" fmla="*/ 1672382 w 4652506"/>
            <a:gd name="connsiteY13" fmla="*/ 3210908 h 7007051"/>
            <a:gd name="connsiteX14" fmla="*/ 1887487 w 4652506"/>
            <a:gd name="connsiteY14" fmla="*/ 3319108 h 7007051"/>
            <a:gd name="connsiteX15" fmla="*/ 2357669 w 4652506"/>
            <a:gd name="connsiteY15" fmla="*/ 3161229 h 7007051"/>
            <a:gd name="connsiteX16" fmla="*/ 2633873 w 4652506"/>
            <a:gd name="connsiteY16" fmla="*/ 3078643 h 7007051"/>
            <a:gd name="connsiteX17" fmla="*/ 2596033 w 4652506"/>
            <a:gd name="connsiteY17" fmla="*/ 3283177 h 7007051"/>
            <a:gd name="connsiteX18" fmla="*/ 2637154 w 4652506"/>
            <a:gd name="connsiteY18" fmla="*/ 3436080 h 7007051"/>
            <a:gd name="connsiteX19" fmla="*/ 2893037 w 4652506"/>
            <a:gd name="connsiteY19" fmla="*/ 3554559 h 7007051"/>
            <a:gd name="connsiteX20" fmla="*/ 3317352 w 4652506"/>
            <a:gd name="connsiteY20" fmla="*/ 3799685 h 7007051"/>
            <a:gd name="connsiteX21" fmla="*/ 3383911 w 4652506"/>
            <a:gd name="connsiteY21" fmla="*/ 4018854 h 7007051"/>
            <a:gd name="connsiteX22" fmla="*/ 3611651 w 4652506"/>
            <a:gd name="connsiteY22" fmla="*/ 4189085 h 7007051"/>
            <a:gd name="connsiteX23" fmla="*/ 3562243 w 4652506"/>
            <a:gd name="connsiteY23" fmla="*/ 4462626 h 7007051"/>
            <a:gd name="connsiteX24" fmla="*/ 3467805 w 4652506"/>
            <a:gd name="connsiteY24" fmla="*/ 4661583 h 7007051"/>
            <a:gd name="connsiteX25" fmla="*/ 3668060 w 4652506"/>
            <a:gd name="connsiteY25" fmla="*/ 4707646 h 7007051"/>
            <a:gd name="connsiteX26" fmla="*/ 3745746 w 4652506"/>
            <a:gd name="connsiteY26" fmla="*/ 4860605 h 7007051"/>
            <a:gd name="connsiteX27" fmla="*/ 3719012 w 4652506"/>
            <a:gd name="connsiteY27" fmla="*/ 5046272 h 7007051"/>
            <a:gd name="connsiteX28" fmla="*/ 4083088 w 4652506"/>
            <a:gd name="connsiteY28" fmla="*/ 5180238 h 7007051"/>
            <a:gd name="connsiteX29" fmla="*/ 4117263 w 4652506"/>
            <a:gd name="connsiteY29" fmla="*/ 5383001 h 7007051"/>
            <a:gd name="connsiteX30" fmla="*/ 4312130 w 4652506"/>
            <a:gd name="connsiteY30" fmla="*/ 5401041 h 7007051"/>
            <a:gd name="connsiteX31" fmla="*/ 4075446 w 4652506"/>
            <a:gd name="connsiteY31" fmla="*/ 5635130 h 7007051"/>
            <a:gd name="connsiteX32" fmla="*/ 4300210 w 4652506"/>
            <a:gd name="connsiteY32" fmla="*/ 5628701 h 7007051"/>
            <a:gd name="connsiteX33" fmla="*/ 4219776 w 4652506"/>
            <a:gd name="connsiteY33" fmla="*/ 5819509 h 7007051"/>
            <a:gd name="connsiteX34" fmla="*/ 4057601 w 4652506"/>
            <a:gd name="connsiteY34" fmla="*/ 5953301 h 7007051"/>
            <a:gd name="connsiteX35" fmla="*/ 3966490 w 4652506"/>
            <a:gd name="connsiteY35" fmla="*/ 6384095 h 7007051"/>
            <a:gd name="connsiteX36" fmla="*/ 4454205 w 4652506"/>
            <a:gd name="connsiteY36" fmla="*/ 7007051 h 7007051"/>
            <a:gd name="connsiteX37" fmla="*/ 12900 w 4652506"/>
            <a:gd name="connsiteY37" fmla="*/ 6992686 h 7007051"/>
            <a:gd name="connsiteX0" fmla="*/ 12900 w 4652506"/>
            <a:gd name="connsiteY0" fmla="*/ 6992686 h 7007051"/>
            <a:gd name="connsiteX1" fmla="*/ 12900 w 4652506"/>
            <a:gd name="connsiteY1" fmla="*/ 2611187 h 7007051"/>
            <a:gd name="connsiteX2" fmla="*/ 4000 w 4652506"/>
            <a:gd name="connsiteY2" fmla="*/ 1239764 h 7007051"/>
            <a:gd name="connsiteX3" fmla="*/ 4000 w 4652506"/>
            <a:gd name="connsiteY3" fmla="*/ 17389 h 7007051"/>
            <a:gd name="connsiteX4" fmla="*/ 1632181 w 4652506"/>
            <a:gd name="connsiteY4" fmla="*/ 0 h 7007051"/>
            <a:gd name="connsiteX5" fmla="*/ 1644235 w 4652506"/>
            <a:gd name="connsiteY5" fmla="*/ 654878 h 7007051"/>
            <a:gd name="connsiteX6" fmla="*/ 1721297 w 4652506"/>
            <a:gd name="connsiteY6" fmla="*/ 795713 h 7007051"/>
            <a:gd name="connsiteX7" fmla="*/ 1632323 w 4652506"/>
            <a:gd name="connsiteY7" fmla="*/ 960913 h 7007051"/>
            <a:gd name="connsiteX8" fmla="*/ 1555131 w 4652506"/>
            <a:gd name="connsiteY8" fmla="*/ 1525409 h 7007051"/>
            <a:gd name="connsiteX9" fmla="*/ 984682 w 4652506"/>
            <a:gd name="connsiteY9" fmla="*/ 2014444 h 7007051"/>
            <a:gd name="connsiteX10" fmla="*/ 1034717 w 4652506"/>
            <a:gd name="connsiteY10" fmla="*/ 2674692 h 7007051"/>
            <a:gd name="connsiteX11" fmla="*/ 1202829 w 4652506"/>
            <a:gd name="connsiteY11" fmla="*/ 2908823 h 7007051"/>
            <a:gd name="connsiteX12" fmla="*/ 1425911 w 4652506"/>
            <a:gd name="connsiteY12" fmla="*/ 3015261 h 7007051"/>
            <a:gd name="connsiteX13" fmla="*/ 1563860 w 4652506"/>
            <a:gd name="connsiteY13" fmla="*/ 3083752 h 7007051"/>
            <a:gd name="connsiteX14" fmla="*/ 1672382 w 4652506"/>
            <a:gd name="connsiteY14" fmla="*/ 3210908 h 7007051"/>
            <a:gd name="connsiteX15" fmla="*/ 1887487 w 4652506"/>
            <a:gd name="connsiteY15" fmla="*/ 3319108 h 7007051"/>
            <a:gd name="connsiteX16" fmla="*/ 2357669 w 4652506"/>
            <a:gd name="connsiteY16" fmla="*/ 3161229 h 7007051"/>
            <a:gd name="connsiteX17" fmla="*/ 2633873 w 4652506"/>
            <a:gd name="connsiteY17" fmla="*/ 3078643 h 7007051"/>
            <a:gd name="connsiteX18" fmla="*/ 2596033 w 4652506"/>
            <a:gd name="connsiteY18" fmla="*/ 3283177 h 7007051"/>
            <a:gd name="connsiteX19" fmla="*/ 2637154 w 4652506"/>
            <a:gd name="connsiteY19" fmla="*/ 3436080 h 7007051"/>
            <a:gd name="connsiteX20" fmla="*/ 2893037 w 4652506"/>
            <a:gd name="connsiteY20" fmla="*/ 3554559 h 7007051"/>
            <a:gd name="connsiteX21" fmla="*/ 3317352 w 4652506"/>
            <a:gd name="connsiteY21" fmla="*/ 3799685 h 7007051"/>
            <a:gd name="connsiteX22" fmla="*/ 3383911 w 4652506"/>
            <a:gd name="connsiteY22" fmla="*/ 4018854 h 7007051"/>
            <a:gd name="connsiteX23" fmla="*/ 3611651 w 4652506"/>
            <a:gd name="connsiteY23" fmla="*/ 4189085 h 7007051"/>
            <a:gd name="connsiteX24" fmla="*/ 3562243 w 4652506"/>
            <a:gd name="connsiteY24" fmla="*/ 4462626 h 7007051"/>
            <a:gd name="connsiteX25" fmla="*/ 3467805 w 4652506"/>
            <a:gd name="connsiteY25" fmla="*/ 4661583 h 7007051"/>
            <a:gd name="connsiteX26" fmla="*/ 3668060 w 4652506"/>
            <a:gd name="connsiteY26" fmla="*/ 4707646 h 7007051"/>
            <a:gd name="connsiteX27" fmla="*/ 3745746 w 4652506"/>
            <a:gd name="connsiteY27" fmla="*/ 4860605 h 7007051"/>
            <a:gd name="connsiteX28" fmla="*/ 3719012 w 4652506"/>
            <a:gd name="connsiteY28" fmla="*/ 5046272 h 7007051"/>
            <a:gd name="connsiteX29" fmla="*/ 4083088 w 4652506"/>
            <a:gd name="connsiteY29" fmla="*/ 5180238 h 7007051"/>
            <a:gd name="connsiteX30" fmla="*/ 4117263 w 4652506"/>
            <a:gd name="connsiteY30" fmla="*/ 5383001 h 7007051"/>
            <a:gd name="connsiteX31" fmla="*/ 4312130 w 4652506"/>
            <a:gd name="connsiteY31" fmla="*/ 5401041 h 7007051"/>
            <a:gd name="connsiteX32" fmla="*/ 4075446 w 4652506"/>
            <a:gd name="connsiteY32" fmla="*/ 5635130 h 7007051"/>
            <a:gd name="connsiteX33" fmla="*/ 4300210 w 4652506"/>
            <a:gd name="connsiteY33" fmla="*/ 5628701 h 7007051"/>
            <a:gd name="connsiteX34" fmla="*/ 4219776 w 4652506"/>
            <a:gd name="connsiteY34" fmla="*/ 5819509 h 7007051"/>
            <a:gd name="connsiteX35" fmla="*/ 4057601 w 4652506"/>
            <a:gd name="connsiteY35" fmla="*/ 5953301 h 7007051"/>
            <a:gd name="connsiteX36" fmla="*/ 3966490 w 4652506"/>
            <a:gd name="connsiteY36" fmla="*/ 6384095 h 7007051"/>
            <a:gd name="connsiteX37" fmla="*/ 4454205 w 4652506"/>
            <a:gd name="connsiteY37" fmla="*/ 7007051 h 7007051"/>
            <a:gd name="connsiteX38" fmla="*/ 12900 w 4652506"/>
            <a:gd name="connsiteY38" fmla="*/ 6992686 h 7007051"/>
            <a:gd name="connsiteX0" fmla="*/ 12900 w 4652506"/>
            <a:gd name="connsiteY0" fmla="*/ 6992686 h 7007051"/>
            <a:gd name="connsiteX1" fmla="*/ 12900 w 4652506"/>
            <a:gd name="connsiteY1" fmla="*/ 2611187 h 7007051"/>
            <a:gd name="connsiteX2" fmla="*/ 4000 w 4652506"/>
            <a:gd name="connsiteY2" fmla="*/ 1239764 h 7007051"/>
            <a:gd name="connsiteX3" fmla="*/ 4000 w 4652506"/>
            <a:gd name="connsiteY3" fmla="*/ 17389 h 7007051"/>
            <a:gd name="connsiteX4" fmla="*/ 1632181 w 4652506"/>
            <a:gd name="connsiteY4" fmla="*/ 0 h 7007051"/>
            <a:gd name="connsiteX5" fmla="*/ 1644235 w 4652506"/>
            <a:gd name="connsiteY5" fmla="*/ 654878 h 7007051"/>
            <a:gd name="connsiteX6" fmla="*/ 1721297 w 4652506"/>
            <a:gd name="connsiteY6" fmla="*/ 795713 h 7007051"/>
            <a:gd name="connsiteX7" fmla="*/ 1632323 w 4652506"/>
            <a:gd name="connsiteY7" fmla="*/ 960913 h 7007051"/>
            <a:gd name="connsiteX8" fmla="*/ 1555131 w 4652506"/>
            <a:gd name="connsiteY8" fmla="*/ 1525409 h 7007051"/>
            <a:gd name="connsiteX9" fmla="*/ 984682 w 4652506"/>
            <a:gd name="connsiteY9" fmla="*/ 2014444 h 7007051"/>
            <a:gd name="connsiteX10" fmla="*/ 1034717 w 4652506"/>
            <a:gd name="connsiteY10" fmla="*/ 2674692 h 7007051"/>
            <a:gd name="connsiteX11" fmla="*/ 1202829 w 4652506"/>
            <a:gd name="connsiteY11" fmla="*/ 2908823 h 7007051"/>
            <a:gd name="connsiteX12" fmla="*/ 1425911 w 4652506"/>
            <a:gd name="connsiteY12" fmla="*/ 3015261 h 7007051"/>
            <a:gd name="connsiteX13" fmla="*/ 1626834 w 4652506"/>
            <a:gd name="connsiteY13" fmla="*/ 3028840 h 7007051"/>
            <a:gd name="connsiteX14" fmla="*/ 1672382 w 4652506"/>
            <a:gd name="connsiteY14" fmla="*/ 3210908 h 7007051"/>
            <a:gd name="connsiteX15" fmla="*/ 1887487 w 4652506"/>
            <a:gd name="connsiteY15" fmla="*/ 3319108 h 7007051"/>
            <a:gd name="connsiteX16" fmla="*/ 2357669 w 4652506"/>
            <a:gd name="connsiteY16" fmla="*/ 3161229 h 7007051"/>
            <a:gd name="connsiteX17" fmla="*/ 2633873 w 4652506"/>
            <a:gd name="connsiteY17" fmla="*/ 3078643 h 7007051"/>
            <a:gd name="connsiteX18" fmla="*/ 2596033 w 4652506"/>
            <a:gd name="connsiteY18" fmla="*/ 3283177 h 7007051"/>
            <a:gd name="connsiteX19" fmla="*/ 2637154 w 4652506"/>
            <a:gd name="connsiteY19" fmla="*/ 3436080 h 7007051"/>
            <a:gd name="connsiteX20" fmla="*/ 2893037 w 4652506"/>
            <a:gd name="connsiteY20" fmla="*/ 3554559 h 7007051"/>
            <a:gd name="connsiteX21" fmla="*/ 3317352 w 4652506"/>
            <a:gd name="connsiteY21" fmla="*/ 3799685 h 7007051"/>
            <a:gd name="connsiteX22" fmla="*/ 3383911 w 4652506"/>
            <a:gd name="connsiteY22" fmla="*/ 4018854 h 7007051"/>
            <a:gd name="connsiteX23" fmla="*/ 3611651 w 4652506"/>
            <a:gd name="connsiteY23" fmla="*/ 4189085 h 7007051"/>
            <a:gd name="connsiteX24" fmla="*/ 3562243 w 4652506"/>
            <a:gd name="connsiteY24" fmla="*/ 4462626 h 7007051"/>
            <a:gd name="connsiteX25" fmla="*/ 3467805 w 4652506"/>
            <a:gd name="connsiteY25" fmla="*/ 4661583 h 7007051"/>
            <a:gd name="connsiteX26" fmla="*/ 3668060 w 4652506"/>
            <a:gd name="connsiteY26" fmla="*/ 4707646 h 7007051"/>
            <a:gd name="connsiteX27" fmla="*/ 3745746 w 4652506"/>
            <a:gd name="connsiteY27" fmla="*/ 4860605 h 7007051"/>
            <a:gd name="connsiteX28" fmla="*/ 3719012 w 4652506"/>
            <a:gd name="connsiteY28" fmla="*/ 5046272 h 7007051"/>
            <a:gd name="connsiteX29" fmla="*/ 4083088 w 4652506"/>
            <a:gd name="connsiteY29" fmla="*/ 5180238 h 7007051"/>
            <a:gd name="connsiteX30" fmla="*/ 4117263 w 4652506"/>
            <a:gd name="connsiteY30" fmla="*/ 5383001 h 7007051"/>
            <a:gd name="connsiteX31" fmla="*/ 4312130 w 4652506"/>
            <a:gd name="connsiteY31" fmla="*/ 5401041 h 7007051"/>
            <a:gd name="connsiteX32" fmla="*/ 4075446 w 4652506"/>
            <a:gd name="connsiteY32" fmla="*/ 5635130 h 7007051"/>
            <a:gd name="connsiteX33" fmla="*/ 4300210 w 4652506"/>
            <a:gd name="connsiteY33" fmla="*/ 5628701 h 7007051"/>
            <a:gd name="connsiteX34" fmla="*/ 4219776 w 4652506"/>
            <a:gd name="connsiteY34" fmla="*/ 5819509 h 7007051"/>
            <a:gd name="connsiteX35" fmla="*/ 4057601 w 4652506"/>
            <a:gd name="connsiteY35" fmla="*/ 5953301 h 7007051"/>
            <a:gd name="connsiteX36" fmla="*/ 3966490 w 4652506"/>
            <a:gd name="connsiteY36" fmla="*/ 6384095 h 7007051"/>
            <a:gd name="connsiteX37" fmla="*/ 4454205 w 4652506"/>
            <a:gd name="connsiteY37" fmla="*/ 7007051 h 7007051"/>
            <a:gd name="connsiteX38" fmla="*/ 12900 w 4652506"/>
            <a:gd name="connsiteY38" fmla="*/ 6992686 h 7007051"/>
            <a:gd name="connsiteX0" fmla="*/ 12900 w 4652506"/>
            <a:gd name="connsiteY0" fmla="*/ 6992686 h 7007051"/>
            <a:gd name="connsiteX1" fmla="*/ 12900 w 4652506"/>
            <a:gd name="connsiteY1" fmla="*/ 2611187 h 7007051"/>
            <a:gd name="connsiteX2" fmla="*/ 4000 w 4652506"/>
            <a:gd name="connsiteY2" fmla="*/ 1239764 h 7007051"/>
            <a:gd name="connsiteX3" fmla="*/ 4000 w 4652506"/>
            <a:gd name="connsiteY3" fmla="*/ 17389 h 7007051"/>
            <a:gd name="connsiteX4" fmla="*/ 1632181 w 4652506"/>
            <a:gd name="connsiteY4" fmla="*/ 0 h 7007051"/>
            <a:gd name="connsiteX5" fmla="*/ 1644235 w 4652506"/>
            <a:gd name="connsiteY5" fmla="*/ 654878 h 7007051"/>
            <a:gd name="connsiteX6" fmla="*/ 1721297 w 4652506"/>
            <a:gd name="connsiteY6" fmla="*/ 795713 h 7007051"/>
            <a:gd name="connsiteX7" fmla="*/ 1632323 w 4652506"/>
            <a:gd name="connsiteY7" fmla="*/ 960913 h 7007051"/>
            <a:gd name="connsiteX8" fmla="*/ 1555131 w 4652506"/>
            <a:gd name="connsiteY8" fmla="*/ 1525409 h 7007051"/>
            <a:gd name="connsiteX9" fmla="*/ 984682 w 4652506"/>
            <a:gd name="connsiteY9" fmla="*/ 2014444 h 7007051"/>
            <a:gd name="connsiteX10" fmla="*/ 1013726 w 4652506"/>
            <a:gd name="connsiteY10" fmla="*/ 2574019 h 7007051"/>
            <a:gd name="connsiteX11" fmla="*/ 1202829 w 4652506"/>
            <a:gd name="connsiteY11" fmla="*/ 2908823 h 7007051"/>
            <a:gd name="connsiteX12" fmla="*/ 1425911 w 4652506"/>
            <a:gd name="connsiteY12" fmla="*/ 3015261 h 7007051"/>
            <a:gd name="connsiteX13" fmla="*/ 1626834 w 4652506"/>
            <a:gd name="connsiteY13" fmla="*/ 3028840 h 7007051"/>
            <a:gd name="connsiteX14" fmla="*/ 1672382 w 4652506"/>
            <a:gd name="connsiteY14" fmla="*/ 3210908 h 7007051"/>
            <a:gd name="connsiteX15" fmla="*/ 1887487 w 4652506"/>
            <a:gd name="connsiteY15" fmla="*/ 3319108 h 7007051"/>
            <a:gd name="connsiteX16" fmla="*/ 2357669 w 4652506"/>
            <a:gd name="connsiteY16" fmla="*/ 3161229 h 7007051"/>
            <a:gd name="connsiteX17" fmla="*/ 2633873 w 4652506"/>
            <a:gd name="connsiteY17" fmla="*/ 3078643 h 7007051"/>
            <a:gd name="connsiteX18" fmla="*/ 2596033 w 4652506"/>
            <a:gd name="connsiteY18" fmla="*/ 3283177 h 7007051"/>
            <a:gd name="connsiteX19" fmla="*/ 2637154 w 4652506"/>
            <a:gd name="connsiteY19" fmla="*/ 3436080 h 7007051"/>
            <a:gd name="connsiteX20" fmla="*/ 2893037 w 4652506"/>
            <a:gd name="connsiteY20" fmla="*/ 3554559 h 7007051"/>
            <a:gd name="connsiteX21" fmla="*/ 3317352 w 4652506"/>
            <a:gd name="connsiteY21" fmla="*/ 3799685 h 7007051"/>
            <a:gd name="connsiteX22" fmla="*/ 3383911 w 4652506"/>
            <a:gd name="connsiteY22" fmla="*/ 4018854 h 7007051"/>
            <a:gd name="connsiteX23" fmla="*/ 3611651 w 4652506"/>
            <a:gd name="connsiteY23" fmla="*/ 4189085 h 7007051"/>
            <a:gd name="connsiteX24" fmla="*/ 3562243 w 4652506"/>
            <a:gd name="connsiteY24" fmla="*/ 4462626 h 7007051"/>
            <a:gd name="connsiteX25" fmla="*/ 3467805 w 4652506"/>
            <a:gd name="connsiteY25" fmla="*/ 4661583 h 7007051"/>
            <a:gd name="connsiteX26" fmla="*/ 3668060 w 4652506"/>
            <a:gd name="connsiteY26" fmla="*/ 4707646 h 7007051"/>
            <a:gd name="connsiteX27" fmla="*/ 3745746 w 4652506"/>
            <a:gd name="connsiteY27" fmla="*/ 4860605 h 7007051"/>
            <a:gd name="connsiteX28" fmla="*/ 3719012 w 4652506"/>
            <a:gd name="connsiteY28" fmla="*/ 5046272 h 7007051"/>
            <a:gd name="connsiteX29" fmla="*/ 4083088 w 4652506"/>
            <a:gd name="connsiteY29" fmla="*/ 5180238 h 7007051"/>
            <a:gd name="connsiteX30" fmla="*/ 4117263 w 4652506"/>
            <a:gd name="connsiteY30" fmla="*/ 5383001 h 7007051"/>
            <a:gd name="connsiteX31" fmla="*/ 4312130 w 4652506"/>
            <a:gd name="connsiteY31" fmla="*/ 5401041 h 7007051"/>
            <a:gd name="connsiteX32" fmla="*/ 4075446 w 4652506"/>
            <a:gd name="connsiteY32" fmla="*/ 5635130 h 7007051"/>
            <a:gd name="connsiteX33" fmla="*/ 4300210 w 4652506"/>
            <a:gd name="connsiteY33" fmla="*/ 5628701 h 7007051"/>
            <a:gd name="connsiteX34" fmla="*/ 4219776 w 4652506"/>
            <a:gd name="connsiteY34" fmla="*/ 5819509 h 7007051"/>
            <a:gd name="connsiteX35" fmla="*/ 4057601 w 4652506"/>
            <a:gd name="connsiteY35" fmla="*/ 5953301 h 7007051"/>
            <a:gd name="connsiteX36" fmla="*/ 3966490 w 4652506"/>
            <a:gd name="connsiteY36" fmla="*/ 6384095 h 7007051"/>
            <a:gd name="connsiteX37" fmla="*/ 4454205 w 4652506"/>
            <a:gd name="connsiteY37" fmla="*/ 7007051 h 7007051"/>
            <a:gd name="connsiteX38" fmla="*/ 12900 w 4652506"/>
            <a:gd name="connsiteY38" fmla="*/ 6992686 h 7007051"/>
            <a:gd name="connsiteX0" fmla="*/ 12900 w 4652506"/>
            <a:gd name="connsiteY0" fmla="*/ 6992686 h 7007051"/>
            <a:gd name="connsiteX1" fmla="*/ 12900 w 4652506"/>
            <a:gd name="connsiteY1" fmla="*/ 2611187 h 7007051"/>
            <a:gd name="connsiteX2" fmla="*/ 4000 w 4652506"/>
            <a:gd name="connsiteY2" fmla="*/ 1239764 h 7007051"/>
            <a:gd name="connsiteX3" fmla="*/ 4000 w 4652506"/>
            <a:gd name="connsiteY3" fmla="*/ 17389 h 7007051"/>
            <a:gd name="connsiteX4" fmla="*/ 1632181 w 4652506"/>
            <a:gd name="connsiteY4" fmla="*/ 0 h 7007051"/>
            <a:gd name="connsiteX5" fmla="*/ 1644235 w 4652506"/>
            <a:gd name="connsiteY5" fmla="*/ 654878 h 7007051"/>
            <a:gd name="connsiteX6" fmla="*/ 1721297 w 4652506"/>
            <a:gd name="connsiteY6" fmla="*/ 795713 h 7007051"/>
            <a:gd name="connsiteX7" fmla="*/ 1632323 w 4652506"/>
            <a:gd name="connsiteY7" fmla="*/ 960913 h 7007051"/>
            <a:gd name="connsiteX8" fmla="*/ 1555131 w 4652506"/>
            <a:gd name="connsiteY8" fmla="*/ 1525409 h 7007051"/>
            <a:gd name="connsiteX9" fmla="*/ 984682 w 4652506"/>
            <a:gd name="connsiteY9" fmla="*/ 2014444 h 7007051"/>
            <a:gd name="connsiteX10" fmla="*/ 1013726 w 4652506"/>
            <a:gd name="connsiteY10" fmla="*/ 2574019 h 7007051"/>
            <a:gd name="connsiteX11" fmla="*/ 1150351 w 4652506"/>
            <a:gd name="connsiteY11" fmla="*/ 2844758 h 7007051"/>
            <a:gd name="connsiteX12" fmla="*/ 1425911 w 4652506"/>
            <a:gd name="connsiteY12" fmla="*/ 3015261 h 7007051"/>
            <a:gd name="connsiteX13" fmla="*/ 1626834 w 4652506"/>
            <a:gd name="connsiteY13" fmla="*/ 3028840 h 7007051"/>
            <a:gd name="connsiteX14" fmla="*/ 1672382 w 4652506"/>
            <a:gd name="connsiteY14" fmla="*/ 3210908 h 7007051"/>
            <a:gd name="connsiteX15" fmla="*/ 1887487 w 4652506"/>
            <a:gd name="connsiteY15" fmla="*/ 3319108 h 7007051"/>
            <a:gd name="connsiteX16" fmla="*/ 2357669 w 4652506"/>
            <a:gd name="connsiteY16" fmla="*/ 3161229 h 7007051"/>
            <a:gd name="connsiteX17" fmla="*/ 2633873 w 4652506"/>
            <a:gd name="connsiteY17" fmla="*/ 3078643 h 7007051"/>
            <a:gd name="connsiteX18" fmla="*/ 2596033 w 4652506"/>
            <a:gd name="connsiteY18" fmla="*/ 3283177 h 7007051"/>
            <a:gd name="connsiteX19" fmla="*/ 2637154 w 4652506"/>
            <a:gd name="connsiteY19" fmla="*/ 3436080 h 7007051"/>
            <a:gd name="connsiteX20" fmla="*/ 2893037 w 4652506"/>
            <a:gd name="connsiteY20" fmla="*/ 3554559 h 7007051"/>
            <a:gd name="connsiteX21" fmla="*/ 3317352 w 4652506"/>
            <a:gd name="connsiteY21" fmla="*/ 3799685 h 7007051"/>
            <a:gd name="connsiteX22" fmla="*/ 3383911 w 4652506"/>
            <a:gd name="connsiteY22" fmla="*/ 4018854 h 7007051"/>
            <a:gd name="connsiteX23" fmla="*/ 3611651 w 4652506"/>
            <a:gd name="connsiteY23" fmla="*/ 4189085 h 7007051"/>
            <a:gd name="connsiteX24" fmla="*/ 3562243 w 4652506"/>
            <a:gd name="connsiteY24" fmla="*/ 4462626 h 7007051"/>
            <a:gd name="connsiteX25" fmla="*/ 3467805 w 4652506"/>
            <a:gd name="connsiteY25" fmla="*/ 4661583 h 7007051"/>
            <a:gd name="connsiteX26" fmla="*/ 3668060 w 4652506"/>
            <a:gd name="connsiteY26" fmla="*/ 4707646 h 7007051"/>
            <a:gd name="connsiteX27" fmla="*/ 3745746 w 4652506"/>
            <a:gd name="connsiteY27" fmla="*/ 4860605 h 7007051"/>
            <a:gd name="connsiteX28" fmla="*/ 3719012 w 4652506"/>
            <a:gd name="connsiteY28" fmla="*/ 5046272 h 7007051"/>
            <a:gd name="connsiteX29" fmla="*/ 4083088 w 4652506"/>
            <a:gd name="connsiteY29" fmla="*/ 5180238 h 7007051"/>
            <a:gd name="connsiteX30" fmla="*/ 4117263 w 4652506"/>
            <a:gd name="connsiteY30" fmla="*/ 5383001 h 7007051"/>
            <a:gd name="connsiteX31" fmla="*/ 4312130 w 4652506"/>
            <a:gd name="connsiteY31" fmla="*/ 5401041 h 7007051"/>
            <a:gd name="connsiteX32" fmla="*/ 4075446 w 4652506"/>
            <a:gd name="connsiteY32" fmla="*/ 5635130 h 7007051"/>
            <a:gd name="connsiteX33" fmla="*/ 4300210 w 4652506"/>
            <a:gd name="connsiteY33" fmla="*/ 5628701 h 7007051"/>
            <a:gd name="connsiteX34" fmla="*/ 4219776 w 4652506"/>
            <a:gd name="connsiteY34" fmla="*/ 5819509 h 7007051"/>
            <a:gd name="connsiteX35" fmla="*/ 4057601 w 4652506"/>
            <a:gd name="connsiteY35" fmla="*/ 5953301 h 7007051"/>
            <a:gd name="connsiteX36" fmla="*/ 3966490 w 4652506"/>
            <a:gd name="connsiteY36" fmla="*/ 6384095 h 7007051"/>
            <a:gd name="connsiteX37" fmla="*/ 4454205 w 4652506"/>
            <a:gd name="connsiteY37" fmla="*/ 7007051 h 7007051"/>
            <a:gd name="connsiteX38" fmla="*/ 12900 w 4652506"/>
            <a:gd name="connsiteY38" fmla="*/ 6992686 h 7007051"/>
            <a:gd name="connsiteX0" fmla="*/ 12900 w 4652506"/>
            <a:gd name="connsiteY0" fmla="*/ 6992686 h 7007051"/>
            <a:gd name="connsiteX1" fmla="*/ 12900 w 4652506"/>
            <a:gd name="connsiteY1" fmla="*/ 2611187 h 7007051"/>
            <a:gd name="connsiteX2" fmla="*/ 4000 w 4652506"/>
            <a:gd name="connsiteY2" fmla="*/ 1239764 h 7007051"/>
            <a:gd name="connsiteX3" fmla="*/ 4000 w 4652506"/>
            <a:gd name="connsiteY3" fmla="*/ 17389 h 7007051"/>
            <a:gd name="connsiteX4" fmla="*/ 1632181 w 4652506"/>
            <a:gd name="connsiteY4" fmla="*/ 0 h 7007051"/>
            <a:gd name="connsiteX5" fmla="*/ 1644235 w 4652506"/>
            <a:gd name="connsiteY5" fmla="*/ 654878 h 7007051"/>
            <a:gd name="connsiteX6" fmla="*/ 1721297 w 4652506"/>
            <a:gd name="connsiteY6" fmla="*/ 795713 h 7007051"/>
            <a:gd name="connsiteX7" fmla="*/ 1632323 w 4652506"/>
            <a:gd name="connsiteY7" fmla="*/ 960913 h 7007051"/>
            <a:gd name="connsiteX8" fmla="*/ 1555131 w 4652506"/>
            <a:gd name="connsiteY8" fmla="*/ 1525409 h 7007051"/>
            <a:gd name="connsiteX9" fmla="*/ 984682 w 4652506"/>
            <a:gd name="connsiteY9" fmla="*/ 2014444 h 7007051"/>
            <a:gd name="connsiteX10" fmla="*/ 1013726 w 4652506"/>
            <a:gd name="connsiteY10" fmla="*/ 2574019 h 7007051"/>
            <a:gd name="connsiteX11" fmla="*/ 1150351 w 4652506"/>
            <a:gd name="connsiteY11" fmla="*/ 2844758 h 7007051"/>
            <a:gd name="connsiteX12" fmla="*/ 1341945 w 4652506"/>
            <a:gd name="connsiteY12" fmla="*/ 2969500 h 7007051"/>
            <a:gd name="connsiteX13" fmla="*/ 1626834 w 4652506"/>
            <a:gd name="connsiteY13" fmla="*/ 3028840 h 7007051"/>
            <a:gd name="connsiteX14" fmla="*/ 1672382 w 4652506"/>
            <a:gd name="connsiteY14" fmla="*/ 3210908 h 7007051"/>
            <a:gd name="connsiteX15" fmla="*/ 1887487 w 4652506"/>
            <a:gd name="connsiteY15" fmla="*/ 3319108 h 7007051"/>
            <a:gd name="connsiteX16" fmla="*/ 2357669 w 4652506"/>
            <a:gd name="connsiteY16" fmla="*/ 3161229 h 7007051"/>
            <a:gd name="connsiteX17" fmla="*/ 2633873 w 4652506"/>
            <a:gd name="connsiteY17" fmla="*/ 3078643 h 7007051"/>
            <a:gd name="connsiteX18" fmla="*/ 2596033 w 4652506"/>
            <a:gd name="connsiteY18" fmla="*/ 3283177 h 7007051"/>
            <a:gd name="connsiteX19" fmla="*/ 2637154 w 4652506"/>
            <a:gd name="connsiteY19" fmla="*/ 3436080 h 7007051"/>
            <a:gd name="connsiteX20" fmla="*/ 2893037 w 4652506"/>
            <a:gd name="connsiteY20" fmla="*/ 3554559 h 7007051"/>
            <a:gd name="connsiteX21" fmla="*/ 3317352 w 4652506"/>
            <a:gd name="connsiteY21" fmla="*/ 3799685 h 7007051"/>
            <a:gd name="connsiteX22" fmla="*/ 3383911 w 4652506"/>
            <a:gd name="connsiteY22" fmla="*/ 4018854 h 7007051"/>
            <a:gd name="connsiteX23" fmla="*/ 3611651 w 4652506"/>
            <a:gd name="connsiteY23" fmla="*/ 4189085 h 7007051"/>
            <a:gd name="connsiteX24" fmla="*/ 3562243 w 4652506"/>
            <a:gd name="connsiteY24" fmla="*/ 4462626 h 7007051"/>
            <a:gd name="connsiteX25" fmla="*/ 3467805 w 4652506"/>
            <a:gd name="connsiteY25" fmla="*/ 4661583 h 7007051"/>
            <a:gd name="connsiteX26" fmla="*/ 3668060 w 4652506"/>
            <a:gd name="connsiteY26" fmla="*/ 4707646 h 7007051"/>
            <a:gd name="connsiteX27" fmla="*/ 3745746 w 4652506"/>
            <a:gd name="connsiteY27" fmla="*/ 4860605 h 7007051"/>
            <a:gd name="connsiteX28" fmla="*/ 3719012 w 4652506"/>
            <a:gd name="connsiteY28" fmla="*/ 5046272 h 7007051"/>
            <a:gd name="connsiteX29" fmla="*/ 4083088 w 4652506"/>
            <a:gd name="connsiteY29" fmla="*/ 5180238 h 7007051"/>
            <a:gd name="connsiteX30" fmla="*/ 4117263 w 4652506"/>
            <a:gd name="connsiteY30" fmla="*/ 5383001 h 7007051"/>
            <a:gd name="connsiteX31" fmla="*/ 4312130 w 4652506"/>
            <a:gd name="connsiteY31" fmla="*/ 5401041 h 7007051"/>
            <a:gd name="connsiteX32" fmla="*/ 4075446 w 4652506"/>
            <a:gd name="connsiteY32" fmla="*/ 5635130 h 7007051"/>
            <a:gd name="connsiteX33" fmla="*/ 4300210 w 4652506"/>
            <a:gd name="connsiteY33" fmla="*/ 5628701 h 7007051"/>
            <a:gd name="connsiteX34" fmla="*/ 4219776 w 4652506"/>
            <a:gd name="connsiteY34" fmla="*/ 5819509 h 7007051"/>
            <a:gd name="connsiteX35" fmla="*/ 4057601 w 4652506"/>
            <a:gd name="connsiteY35" fmla="*/ 5953301 h 7007051"/>
            <a:gd name="connsiteX36" fmla="*/ 3966490 w 4652506"/>
            <a:gd name="connsiteY36" fmla="*/ 6384095 h 7007051"/>
            <a:gd name="connsiteX37" fmla="*/ 4454205 w 4652506"/>
            <a:gd name="connsiteY37" fmla="*/ 7007051 h 7007051"/>
            <a:gd name="connsiteX38" fmla="*/ 12900 w 4652506"/>
            <a:gd name="connsiteY38" fmla="*/ 6992686 h 7007051"/>
            <a:gd name="connsiteX0" fmla="*/ 12900 w 4652506"/>
            <a:gd name="connsiteY0" fmla="*/ 6992686 h 7007051"/>
            <a:gd name="connsiteX1" fmla="*/ 12900 w 4652506"/>
            <a:gd name="connsiteY1" fmla="*/ 2611187 h 7007051"/>
            <a:gd name="connsiteX2" fmla="*/ 4000 w 4652506"/>
            <a:gd name="connsiteY2" fmla="*/ 1239764 h 7007051"/>
            <a:gd name="connsiteX3" fmla="*/ 4000 w 4652506"/>
            <a:gd name="connsiteY3" fmla="*/ 17389 h 7007051"/>
            <a:gd name="connsiteX4" fmla="*/ 1632181 w 4652506"/>
            <a:gd name="connsiteY4" fmla="*/ 0 h 7007051"/>
            <a:gd name="connsiteX5" fmla="*/ 1644235 w 4652506"/>
            <a:gd name="connsiteY5" fmla="*/ 654878 h 7007051"/>
            <a:gd name="connsiteX6" fmla="*/ 1721297 w 4652506"/>
            <a:gd name="connsiteY6" fmla="*/ 795713 h 7007051"/>
            <a:gd name="connsiteX7" fmla="*/ 1632323 w 4652506"/>
            <a:gd name="connsiteY7" fmla="*/ 960913 h 7007051"/>
            <a:gd name="connsiteX8" fmla="*/ 1555131 w 4652506"/>
            <a:gd name="connsiteY8" fmla="*/ 1525409 h 7007051"/>
            <a:gd name="connsiteX9" fmla="*/ 984682 w 4652506"/>
            <a:gd name="connsiteY9" fmla="*/ 2014444 h 7007051"/>
            <a:gd name="connsiteX10" fmla="*/ 1013726 w 4652506"/>
            <a:gd name="connsiteY10" fmla="*/ 2574019 h 7007051"/>
            <a:gd name="connsiteX11" fmla="*/ 1150351 w 4652506"/>
            <a:gd name="connsiteY11" fmla="*/ 2844758 h 7007051"/>
            <a:gd name="connsiteX12" fmla="*/ 1394423 w 4652506"/>
            <a:gd name="connsiteY12" fmla="*/ 3042717 h 7007051"/>
            <a:gd name="connsiteX13" fmla="*/ 1626834 w 4652506"/>
            <a:gd name="connsiteY13" fmla="*/ 3028840 h 7007051"/>
            <a:gd name="connsiteX14" fmla="*/ 1672382 w 4652506"/>
            <a:gd name="connsiteY14" fmla="*/ 3210908 h 7007051"/>
            <a:gd name="connsiteX15" fmla="*/ 1887487 w 4652506"/>
            <a:gd name="connsiteY15" fmla="*/ 3319108 h 7007051"/>
            <a:gd name="connsiteX16" fmla="*/ 2357669 w 4652506"/>
            <a:gd name="connsiteY16" fmla="*/ 3161229 h 7007051"/>
            <a:gd name="connsiteX17" fmla="*/ 2633873 w 4652506"/>
            <a:gd name="connsiteY17" fmla="*/ 3078643 h 7007051"/>
            <a:gd name="connsiteX18" fmla="*/ 2596033 w 4652506"/>
            <a:gd name="connsiteY18" fmla="*/ 3283177 h 7007051"/>
            <a:gd name="connsiteX19" fmla="*/ 2637154 w 4652506"/>
            <a:gd name="connsiteY19" fmla="*/ 3436080 h 7007051"/>
            <a:gd name="connsiteX20" fmla="*/ 2893037 w 4652506"/>
            <a:gd name="connsiteY20" fmla="*/ 3554559 h 7007051"/>
            <a:gd name="connsiteX21" fmla="*/ 3317352 w 4652506"/>
            <a:gd name="connsiteY21" fmla="*/ 3799685 h 7007051"/>
            <a:gd name="connsiteX22" fmla="*/ 3383911 w 4652506"/>
            <a:gd name="connsiteY22" fmla="*/ 4018854 h 7007051"/>
            <a:gd name="connsiteX23" fmla="*/ 3611651 w 4652506"/>
            <a:gd name="connsiteY23" fmla="*/ 4189085 h 7007051"/>
            <a:gd name="connsiteX24" fmla="*/ 3562243 w 4652506"/>
            <a:gd name="connsiteY24" fmla="*/ 4462626 h 7007051"/>
            <a:gd name="connsiteX25" fmla="*/ 3467805 w 4652506"/>
            <a:gd name="connsiteY25" fmla="*/ 4661583 h 7007051"/>
            <a:gd name="connsiteX26" fmla="*/ 3668060 w 4652506"/>
            <a:gd name="connsiteY26" fmla="*/ 4707646 h 7007051"/>
            <a:gd name="connsiteX27" fmla="*/ 3745746 w 4652506"/>
            <a:gd name="connsiteY27" fmla="*/ 4860605 h 7007051"/>
            <a:gd name="connsiteX28" fmla="*/ 3719012 w 4652506"/>
            <a:gd name="connsiteY28" fmla="*/ 5046272 h 7007051"/>
            <a:gd name="connsiteX29" fmla="*/ 4083088 w 4652506"/>
            <a:gd name="connsiteY29" fmla="*/ 5180238 h 7007051"/>
            <a:gd name="connsiteX30" fmla="*/ 4117263 w 4652506"/>
            <a:gd name="connsiteY30" fmla="*/ 5383001 h 7007051"/>
            <a:gd name="connsiteX31" fmla="*/ 4312130 w 4652506"/>
            <a:gd name="connsiteY31" fmla="*/ 5401041 h 7007051"/>
            <a:gd name="connsiteX32" fmla="*/ 4075446 w 4652506"/>
            <a:gd name="connsiteY32" fmla="*/ 5635130 h 7007051"/>
            <a:gd name="connsiteX33" fmla="*/ 4300210 w 4652506"/>
            <a:gd name="connsiteY33" fmla="*/ 5628701 h 7007051"/>
            <a:gd name="connsiteX34" fmla="*/ 4219776 w 4652506"/>
            <a:gd name="connsiteY34" fmla="*/ 5819509 h 7007051"/>
            <a:gd name="connsiteX35" fmla="*/ 4057601 w 4652506"/>
            <a:gd name="connsiteY35" fmla="*/ 5953301 h 7007051"/>
            <a:gd name="connsiteX36" fmla="*/ 3966490 w 4652506"/>
            <a:gd name="connsiteY36" fmla="*/ 6384095 h 7007051"/>
            <a:gd name="connsiteX37" fmla="*/ 4454205 w 4652506"/>
            <a:gd name="connsiteY37" fmla="*/ 7007051 h 7007051"/>
            <a:gd name="connsiteX38" fmla="*/ 12900 w 4652506"/>
            <a:gd name="connsiteY38" fmla="*/ 6992686 h 7007051"/>
            <a:gd name="connsiteX0" fmla="*/ 12900 w 4652506"/>
            <a:gd name="connsiteY0" fmla="*/ 6992686 h 7007051"/>
            <a:gd name="connsiteX1" fmla="*/ 12900 w 4652506"/>
            <a:gd name="connsiteY1" fmla="*/ 2611187 h 7007051"/>
            <a:gd name="connsiteX2" fmla="*/ 4000 w 4652506"/>
            <a:gd name="connsiteY2" fmla="*/ 1239764 h 7007051"/>
            <a:gd name="connsiteX3" fmla="*/ 4000 w 4652506"/>
            <a:gd name="connsiteY3" fmla="*/ 17389 h 7007051"/>
            <a:gd name="connsiteX4" fmla="*/ 1632181 w 4652506"/>
            <a:gd name="connsiteY4" fmla="*/ 0 h 7007051"/>
            <a:gd name="connsiteX5" fmla="*/ 1644235 w 4652506"/>
            <a:gd name="connsiteY5" fmla="*/ 654878 h 7007051"/>
            <a:gd name="connsiteX6" fmla="*/ 1721297 w 4652506"/>
            <a:gd name="connsiteY6" fmla="*/ 795713 h 7007051"/>
            <a:gd name="connsiteX7" fmla="*/ 1632323 w 4652506"/>
            <a:gd name="connsiteY7" fmla="*/ 960913 h 7007051"/>
            <a:gd name="connsiteX8" fmla="*/ 1555131 w 4652506"/>
            <a:gd name="connsiteY8" fmla="*/ 1525409 h 7007051"/>
            <a:gd name="connsiteX9" fmla="*/ 984682 w 4652506"/>
            <a:gd name="connsiteY9" fmla="*/ 2014444 h 7007051"/>
            <a:gd name="connsiteX10" fmla="*/ 1013726 w 4652506"/>
            <a:gd name="connsiteY10" fmla="*/ 2574019 h 7007051"/>
            <a:gd name="connsiteX11" fmla="*/ 1150351 w 4652506"/>
            <a:gd name="connsiteY11" fmla="*/ 2844758 h 7007051"/>
            <a:gd name="connsiteX12" fmla="*/ 1394423 w 4652506"/>
            <a:gd name="connsiteY12" fmla="*/ 3042717 h 7007051"/>
            <a:gd name="connsiteX13" fmla="*/ 1542869 w 4652506"/>
            <a:gd name="connsiteY13" fmla="*/ 3111210 h 7007051"/>
            <a:gd name="connsiteX14" fmla="*/ 1672382 w 4652506"/>
            <a:gd name="connsiteY14" fmla="*/ 3210908 h 7007051"/>
            <a:gd name="connsiteX15" fmla="*/ 1887487 w 4652506"/>
            <a:gd name="connsiteY15" fmla="*/ 3319108 h 7007051"/>
            <a:gd name="connsiteX16" fmla="*/ 2357669 w 4652506"/>
            <a:gd name="connsiteY16" fmla="*/ 3161229 h 7007051"/>
            <a:gd name="connsiteX17" fmla="*/ 2633873 w 4652506"/>
            <a:gd name="connsiteY17" fmla="*/ 3078643 h 7007051"/>
            <a:gd name="connsiteX18" fmla="*/ 2596033 w 4652506"/>
            <a:gd name="connsiteY18" fmla="*/ 3283177 h 7007051"/>
            <a:gd name="connsiteX19" fmla="*/ 2637154 w 4652506"/>
            <a:gd name="connsiteY19" fmla="*/ 3436080 h 7007051"/>
            <a:gd name="connsiteX20" fmla="*/ 2893037 w 4652506"/>
            <a:gd name="connsiteY20" fmla="*/ 3554559 h 7007051"/>
            <a:gd name="connsiteX21" fmla="*/ 3317352 w 4652506"/>
            <a:gd name="connsiteY21" fmla="*/ 3799685 h 7007051"/>
            <a:gd name="connsiteX22" fmla="*/ 3383911 w 4652506"/>
            <a:gd name="connsiteY22" fmla="*/ 4018854 h 7007051"/>
            <a:gd name="connsiteX23" fmla="*/ 3611651 w 4652506"/>
            <a:gd name="connsiteY23" fmla="*/ 4189085 h 7007051"/>
            <a:gd name="connsiteX24" fmla="*/ 3562243 w 4652506"/>
            <a:gd name="connsiteY24" fmla="*/ 4462626 h 7007051"/>
            <a:gd name="connsiteX25" fmla="*/ 3467805 w 4652506"/>
            <a:gd name="connsiteY25" fmla="*/ 4661583 h 7007051"/>
            <a:gd name="connsiteX26" fmla="*/ 3668060 w 4652506"/>
            <a:gd name="connsiteY26" fmla="*/ 4707646 h 7007051"/>
            <a:gd name="connsiteX27" fmla="*/ 3745746 w 4652506"/>
            <a:gd name="connsiteY27" fmla="*/ 4860605 h 7007051"/>
            <a:gd name="connsiteX28" fmla="*/ 3719012 w 4652506"/>
            <a:gd name="connsiteY28" fmla="*/ 5046272 h 7007051"/>
            <a:gd name="connsiteX29" fmla="*/ 4083088 w 4652506"/>
            <a:gd name="connsiteY29" fmla="*/ 5180238 h 7007051"/>
            <a:gd name="connsiteX30" fmla="*/ 4117263 w 4652506"/>
            <a:gd name="connsiteY30" fmla="*/ 5383001 h 7007051"/>
            <a:gd name="connsiteX31" fmla="*/ 4312130 w 4652506"/>
            <a:gd name="connsiteY31" fmla="*/ 5401041 h 7007051"/>
            <a:gd name="connsiteX32" fmla="*/ 4075446 w 4652506"/>
            <a:gd name="connsiteY32" fmla="*/ 5635130 h 7007051"/>
            <a:gd name="connsiteX33" fmla="*/ 4300210 w 4652506"/>
            <a:gd name="connsiteY33" fmla="*/ 5628701 h 7007051"/>
            <a:gd name="connsiteX34" fmla="*/ 4219776 w 4652506"/>
            <a:gd name="connsiteY34" fmla="*/ 5819509 h 7007051"/>
            <a:gd name="connsiteX35" fmla="*/ 4057601 w 4652506"/>
            <a:gd name="connsiteY35" fmla="*/ 5953301 h 7007051"/>
            <a:gd name="connsiteX36" fmla="*/ 3966490 w 4652506"/>
            <a:gd name="connsiteY36" fmla="*/ 6384095 h 7007051"/>
            <a:gd name="connsiteX37" fmla="*/ 4454205 w 4652506"/>
            <a:gd name="connsiteY37" fmla="*/ 7007051 h 7007051"/>
            <a:gd name="connsiteX38" fmla="*/ 12900 w 4652506"/>
            <a:gd name="connsiteY38" fmla="*/ 6992686 h 7007051"/>
            <a:gd name="connsiteX0" fmla="*/ 12900 w 4652506"/>
            <a:gd name="connsiteY0" fmla="*/ 6992686 h 7007051"/>
            <a:gd name="connsiteX1" fmla="*/ 12900 w 4652506"/>
            <a:gd name="connsiteY1" fmla="*/ 2611187 h 7007051"/>
            <a:gd name="connsiteX2" fmla="*/ 4000 w 4652506"/>
            <a:gd name="connsiteY2" fmla="*/ 1239764 h 7007051"/>
            <a:gd name="connsiteX3" fmla="*/ 4000 w 4652506"/>
            <a:gd name="connsiteY3" fmla="*/ 17389 h 7007051"/>
            <a:gd name="connsiteX4" fmla="*/ 1632181 w 4652506"/>
            <a:gd name="connsiteY4" fmla="*/ 0 h 7007051"/>
            <a:gd name="connsiteX5" fmla="*/ 1644235 w 4652506"/>
            <a:gd name="connsiteY5" fmla="*/ 654878 h 7007051"/>
            <a:gd name="connsiteX6" fmla="*/ 1721297 w 4652506"/>
            <a:gd name="connsiteY6" fmla="*/ 795713 h 7007051"/>
            <a:gd name="connsiteX7" fmla="*/ 1632323 w 4652506"/>
            <a:gd name="connsiteY7" fmla="*/ 960913 h 7007051"/>
            <a:gd name="connsiteX8" fmla="*/ 1555131 w 4652506"/>
            <a:gd name="connsiteY8" fmla="*/ 1525409 h 7007051"/>
            <a:gd name="connsiteX9" fmla="*/ 984682 w 4652506"/>
            <a:gd name="connsiteY9" fmla="*/ 2014444 h 7007051"/>
            <a:gd name="connsiteX10" fmla="*/ 1013726 w 4652506"/>
            <a:gd name="connsiteY10" fmla="*/ 2574019 h 7007051"/>
            <a:gd name="connsiteX11" fmla="*/ 1150351 w 4652506"/>
            <a:gd name="connsiteY11" fmla="*/ 2844758 h 7007051"/>
            <a:gd name="connsiteX12" fmla="*/ 1551858 w 4652506"/>
            <a:gd name="connsiteY12" fmla="*/ 2942043 h 7007051"/>
            <a:gd name="connsiteX13" fmla="*/ 1542869 w 4652506"/>
            <a:gd name="connsiteY13" fmla="*/ 3111210 h 7007051"/>
            <a:gd name="connsiteX14" fmla="*/ 1672382 w 4652506"/>
            <a:gd name="connsiteY14" fmla="*/ 3210908 h 7007051"/>
            <a:gd name="connsiteX15" fmla="*/ 1887487 w 4652506"/>
            <a:gd name="connsiteY15" fmla="*/ 3319108 h 7007051"/>
            <a:gd name="connsiteX16" fmla="*/ 2357669 w 4652506"/>
            <a:gd name="connsiteY16" fmla="*/ 3161229 h 7007051"/>
            <a:gd name="connsiteX17" fmla="*/ 2633873 w 4652506"/>
            <a:gd name="connsiteY17" fmla="*/ 3078643 h 7007051"/>
            <a:gd name="connsiteX18" fmla="*/ 2596033 w 4652506"/>
            <a:gd name="connsiteY18" fmla="*/ 3283177 h 7007051"/>
            <a:gd name="connsiteX19" fmla="*/ 2637154 w 4652506"/>
            <a:gd name="connsiteY19" fmla="*/ 3436080 h 7007051"/>
            <a:gd name="connsiteX20" fmla="*/ 2893037 w 4652506"/>
            <a:gd name="connsiteY20" fmla="*/ 3554559 h 7007051"/>
            <a:gd name="connsiteX21" fmla="*/ 3317352 w 4652506"/>
            <a:gd name="connsiteY21" fmla="*/ 3799685 h 7007051"/>
            <a:gd name="connsiteX22" fmla="*/ 3383911 w 4652506"/>
            <a:gd name="connsiteY22" fmla="*/ 4018854 h 7007051"/>
            <a:gd name="connsiteX23" fmla="*/ 3611651 w 4652506"/>
            <a:gd name="connsiteY23" fmla="*/ 4189085 h 7007051"/>
            <a:gd name="connsiteX24" fmla="*/ 3562243 w 4652506"/>
            <a:gd name="connsiteY24" fmla="*/ 4462626 h 7007051"/>
            <a:gd name="connsiteX25" fmla="*/ 3467805 w 4652506"/>
            <a:gd name="connsiteY25" fmla="*/ 4661583 h 7007051"/>
            <a:gd name="connsiteX26" fmla="*/ 3668060 w 4652506"/>
            <a:gd name="connsiteY26" fmla="*/ 4707646 h 7007051"/>
            <a:gd name="connsiteX27" fmla="*/ 3745746 w 4652506"/>
            <a:gd name="connsiteY27" fmla="*/ 4860605 h 7007051"/>
            <a:gd name="connsiteX28" fmla="*/ 3719012 w 4652506"/>
            <a:gd name="connsiteY28" fmla="*/ 5046272 h 7007051"/>
            <a:gd name="connsiteX29" fmla="*/ 4083088 w 4652506"/>
            <a:gd name="connsiteY29" fmla="*/ 5180238 h 7007051"/>
            <a:gd name="connsiteX30" fmla="*/ 4117263 w 4652506"/>
            <a:gd name="connsiteY30" fmla="*/ 5383001 h 7007051"/>
            <a:gd name="connsiteX31" fmla="*/ 4312130 w 4652506"/>
            <a:gd name="connsiteY31" fmla="*/ 5401041 h 7007051"/>
            <a:gd name="connsiteX32" fmla="*/ 4075446 w 4652506"/>
            <a:gd name="connsiteY32" fmla="*/ 5635130 h 7007051"/>
            <a:gd name="connsiteX33" fmla="*/ 4300210 w 4652506"/>
            <a:gd name="connsiteY33" fmla="*/ 5628701 h 7007051"/>
            <a:gd name="connsiteX34" fmla="*/ 4219776 w 4652506"/>
            <a:gd name="connsiteY34" fmla="*/ 5819509 h 7007051"/>
            <a:gd name="connsiteX35" fmla="*/ 4057601 w 4652506"/>
            <a:gd name="connsiteY35" fmla="*/ 5953301 h 7007051"/>
            <a:gd name="connsiteX36" fmla="*/ 3966490 w 4652506"/>
            <a:gd name="connsiteY36" fmla="*/ 6384095 h 7007051"/>
            <a:gd name="connsiteX37" fmla="*/ 4454205 w 4652506"/>
            <a:gd name="connsiteY37" fmla="*/ 7007051 h 7007051"/>
            <a:gd name="connsiteX38" fmla="*/ 12900 w 4652506"/>
            <a:gd name="connsiteY38" fmla="*/ 6992686 h 7007051"/>
            <a:gd name="connsiteX0" fmla="*/ 12900 w 4652506"/>
            <a:gd name="connsiteY0" fmla="*/ 6992686 h 7007051"/>
            <a:gd name="connsiteX1" fmla="*/ 12900 w 4652506"/>
            <a:gd name="connsiteY1" fmla="*/ 2611187 h 7007051"/>
            <a:gd name="connsiteX2" fmla="*/ 4000 w 4652506"/>
            <a:gd name="connsiteY2" fmla="*/ 1239764 h 7007051"/>
            <a:gd name="connsiteX3" fmla="*/ 4000 w 4652506"/>
            <a:gd name="connsiteY3" fmla="*/ 17389 h 7007051"/>
            <a:gd name="connsiteX4" fmla="*/ 1632181 w 4652506"/>
            <a:gd name="connsiteY4" fmla="*/ 0 h 7007051"/>
            <a:gd name="connsiteX5" fmla="*/ 1644235 w 4652506"/>
            <a:gd name="connsiteY5" fmla="*/ 654878 h 7007051"/>
            <a:gd name="connsiteX6" fmla="*/ 1721297 w 4652506"/>
            <a:gd name="connsiteY6" fmla="*/ 795713 h 7007051"/>
            <a:gd name="connsiteX7" fmla="*/ 1632323 w 4652506"/>
            <a:gd name="connsiteY7" fmla="*/ 960913 h 7007051"/>
            <a:gd name="connsiteX8" fmla="*/ 1555131 w 4652506"/>
            <a:gd name="connsiteY8" fmla="*/ 1525409 h 7007051"/>
            <a:gd name="connsiteX9" fmla="*/ 984682 w 4652506"/>
            <a:gd name="connsiteY9" fmla="*/ 2014444 h 7007051"/>
            <a:gd name="connsiteX10" fmla="*/ 1013726 w 4652506"/>
            <a:gd name="connsiteY10" fmla="*/ 2574019 h 7007051"/>
            <a:gd name="connsiteX11" fmla="*/ 1150351 w 4652506"/>
            <a:gd name="connsiteY11" fmla="*/ 2844758 h 7007051"/>
            <a:gd name="connsiteX12" fmla="*/ 1467892 w 4652506"/>
            <a:gd name="connsiteY12" fmla="*/ 2960348 h 7007051"/>
            <a:gd name="connsiteX13" fmla="*/ 1542869 w 4652506"/>
            <a:gd name="connsiteY13" fmla="*/ 3111210 h 7007051"/>
            <a:gd name="connsiteX14" fmla="*/ 1672382 w 4652506"/>
            <a:gd name="connsiteY14" fmla="*/ 3210908 h 7007051"/>
            <a:gd name="connsiteX15" fmla="*/ 1887487 w 4652506"/>
            <a:gd name="connsiteY15" fmla="*/ 3319108 h 7007051"/>
            <a:gd name="connsiteX16" fmla="*/ 2357669 w 4652506"/>
            <a:gd name="connsiteY16" fmla="*/ 3161229 h 7007051"/>
            <a:gd name="connsiteX17" fmla="*/ 2633873 w 4652506"/>
            <a:gd name="connsiteY17" fmla="*/ 3078643 h 7007051"/>
            <a:gd name="connsiteX18" fmla="*/ 2596033 w 4652506"/>
            <a:gd name="connsiteY18" fmla="*/ 3283177 h 7007051"/>
            <a:gd name="connsiteX19" fmla="*/ 2637154 w 4652506"/>
            <a:gd name="connsiteY19" fmla="*/ 3436080 h 7007051"/>
            <a:gd name="connsiteX20" fmla="*/ 2893037 w 4652506"/>
            <a:gd name="connsiteY20" fmla="*/ 3554559 h 7007051"/>
            <a:gd name="connsiteX21" fmla="*/ 3317352 w 4652506"/>
            <a:gd name="connsiteY21" fmla="*/ 3799685 h 7007051"/>
            <a:gd name="connsiteX22" fmla="*/ 3383911 w 4652506"/>
            <a:gd name="connsiteY22" fmla="*/ 4018854 h 7007051"/>
            <a:gd name="connsiteX23" fmla="*/ 3611651 w 4652506"/>
            <a:gd name="connsiteY23" fmla="*/ 4189085 h 7007051"/>
            <a:gd name="connsiteX24" fmla="*/ 3562243 w 4652506"/>
            <a:gd name="connsiteY24" fmla="*/ 4462626 h 7007051"/>
            <a:gd name="connsiteX25" fmla="*/ 3467805 w 4652506"/>
            <a:gd name="connsiteY25" fmla="*/ 4661583 h 7007051"/>
            <a:gd name="connsiteX26" fmla="*/ 3668060 w 4652506"/>
            <a:gd name="connsiteY26" fmla="*/ 4707646 h 7007051"/>
            <a:gd name="connsiteX27" fmla="*/ 3745746 w 4652506"/>
            <a:gd name="connsiteY27" fmla="*/ 4860605 h 7007051"/>
            <a:gd name="connsiteX28" fmla="*/ 3719012 w 4652506"/>
            <a:gd name="connsiteY28" fmla="*/ 5046272 h 7007051"/>
            <a:gd name="connsiteX29" fmla="*/ 4083088 w 4652506"/>
            <a:gd name="connsiteY29" fmla="*/ 5180238 h 7007051"/>
            <a:gd name="connsiteX30" fmla="*/ 4117263 w 4652506"/>
            <a:gd name="connsiteY30" fmla="*/ 5383001 h 7007051"/>
            <a:gd name="connsiteX31" fmla="*/ 4312130 w 4652506"/>
            <a:gd name="connsiteY31" fmla="*/ 5401041 h 7007051"/>
            <a:gd name="connsiteX32" fmla="*/ 4075446 w 4652506"/>
            <a:gd name="connsiteY32" fmla="*/ 5635130 h 7007051"/>
            <a:gd name="connsiteX33" fmla="*/ 4300210 w 4652506"/>
            <a:gd name="connsiteY33" fmla="*/ 5628701 h 7007051"/>
            <a:gd name="connsiteX34" fmla="*/ 4219776 w 4652506"/>
            <a:gd name="connsiteY34" fmla="*/ 5819509 h 7007051"/>
            <a:gd name="connsiteX35" fmla="*/ 4057601 w 4652506"/>
            <a:gd name="connsiteY35" fmla="*/ 5953301 h 7007051"/>
            <a:gd name="connsiteX36" fmla="*/ 3966490 w 4652506"/>
            <a:gd name="connsiteY36" fmla="*/ 6384095 h 7007051"/>
            <a:gd name="connsiteX37" fmla="*/ 4454205 w 4652506"/>
            <a:gd name="connsiteY37" fmla="*/ 7007051 h 7007051"/>
            <a:gd name="connsiteX38" fmla="*/ 12900 w 4652506"/>
            <a:gd name="connsiteY38" fmla="*/ 6992686 h 7007051"/>
            <a:gd name="connsiteX0" fmla="*/ 12900 w 4652506"/>
            <a:gd name="connsiteY0" fmla="*/ 6992686 h 7007051"/>
            <a:gd name="connsiteX1" fmla="*/ 12900 w 4652506"/>
            <a:gd name="connsiteY1" fmla="*/ 2611187 h 7007051"/>
            <a:gd name="connsiteX2" fmla="*/ 4000 w 4652506"/>
            <a:gd name="connsiteY2" fmla="*/ 1239764 h 7007051"/>
            <a:gd name="connsiteX3" fmla="*/ 4000 w 4652506"/>
            <a:gd name="connsiteY3" fmla="*/ 17389 h 7007051"/>
            <a:gd name="connsiteX4" fmla="*/ 1632181 w 4652506"/>
            <a:gd name="connsiteY4" fmla="*/ 0 h 7007051"/>
            <a:gd name="connsiteX5" fmla="*/ 1644235 w 4652506"/>
            <a:gd name="connsiteY5" fmla="*/ 654878 h 7007051"/>
            <a:gd name="connsiteX6" fmla="*/ 1721297 w 4652506"/>
            <a:gd name="connsiteY6" fmla="*/ 795713 h 7007051"/>
            <a:gd name="connsiteX7" fmla="*/ 1632323 w 4652506"/>
            <a:gd name="connsiteY7" fmla="*/ 960913 h 7007051"/>
            <a:gd name="connsiteX8" fmla="*/ 1555131 w 4652506"/>
            <a:gd name="connsiteY8" fmla="*/ 1525409 h 7007051"/>
            <a:gd name="connsiteX9" fmla="*/ 984682 w 4652506"/>
            <a:gd name="connsiteY9" fmla="*/ 2014444 h 7007051"/>
            <a:gd name="connsiteX10" fmla="*/ 1013726 w 4652506"/>
            <a:gd name="connsiteY10" fmla="*/ 2574019 h 7007051"/>
            <a:gd name="connsiteX11" fmla="*/ 1150351 w 4652506"/>
            <a:gd name="connsiteY11" fmla="*/ 2844758 h 7007051"/>
            <a:gd name="connsiteX12" fmla="*/ 1301467 w 4652506"/>
            <a:gd name="connsiteY12" fmla="*/ 2900708 h 7007051"/>
            <a:gd name="connsiteX13" fmla="*/ 1467892 w 4652506"/>
            <a:gd name="connsiteY13" fmla="*/ 2960348 h 7007051"/>
            <a:gd name="connsiteX14" fmla="*/ 1542869 w 4652506"/>
            <a:gd name="connsiteY14" fmla="*/ 3111210 h 7007051"/>
            <a:gd name="connsiteX15" fmla="*/ 1672382 w 4652506"/>
            <a:gd name="connsiteY15" fmla="*/ 3210908 h 7007051"/>
            <a:gd name="connsiteX16" fmla="*/ 1887487 w 4652506"/>
            <a:gd name="connsiteY16" fmla="*/ 3319108 h 7007051"/>
            <a:gd name="connsiteX17" fmla="*/ 2357669 w 4652506"/>
            <a:gd name="connsiteY17" fmla="*/ 3161229 h 7007051"/>
            <a:gd name="connsiteX18" fmla="*/ 2633873 w 4652506"/>
            <a:gd name="connsiteY18" fmla="*/ 3078643 h 7007051"/>
            <a:gd name="connsiteX19" fmla="*/ 2596033 w 4652506"/>
            <a:gd name="connsiteY19" fmla="*/ 3283177 h 7007051"/>
            <a:gd name="connsiteX20" fmla="*/ 2637154 w 4652506"/>
            <a:gd name="connsiteY20" fmla="*/ 3436080 h 7007051"/>
            <a:gd name="connsiteX21" fmla="*/ 2893037 w 4652506"/>
            <a:gd name="connsiteY21" fmla="*/ 3554559 h 7007051"/>
            <a:gd name="connsiteX22" fmla="*/ 3317352 w 4652506"/>
            <a:gd name="connsiteY22" fmla="*/ 3799685 h 7007051"/>
            <a:gd name="connsiteX23" fmla="*/ 3383911 w 4652506"/>
            <a:gd name="connsiteY23" fmla="*/ 4018854 h 7007051"/>
            <a:gd name="connsiteX24" fmla="*/ 3611651 w 4652506"/>
            <a:gd name="connsiteY24" fmla="*/ 4189085 h 7007051"/>
            <a:gd name="connsiteX25" fmla="*/ 3562243 w 4652506"/>
            <a:gd name="connsiteY25" fmla="*/ 4462626 h 7007051"/>
            <a:gd name="connsiteX26" fmla="*/ 3467805 w 4652506"/>
            <a:gd name="connsiteY26" fmla="*/ 4661583 h 7007051"/>
            <a:gd name="connsiteX27" fmla="*/ 3668060 w 4652506"/>
            <a:gd name="connsiteY27" fmla="*/ 4707646 h 7007051"/>
            <a:gd name="connsiteX28" fmla="*/ 3745746 w 4652506"/>
            <a:gd name="connsiteY28" fmla="*/ 4860605 h 7007051"/>
            <a:gd name="connsiteX29" fmla="*/ 3719012 w 4652506"/>
            <a:gd name="connsiteY29" fmla="*/ 5046272 h 7007051"/>
            <a:gd name="connsiteX30" fmla="*/ 4083088 w 4652506"/>
            <a:gd name="connsiteY30" fmla="*/ 5180238 h 7007051"/>
            <a:gd name="connsiteX31" fmla="*/ 4117263 w 4652506"/>
            <a:gd name="connsiteY31" fmla="*/ 5383001 h 7007051"/>
            <a:gd name="connsiteX32" fmla="*/ 4312130 w 4652506"/>
            <a:gd name="connsiteY32" fmla="*/ 5401041 h 7007051"/>
            <a:gd name="connsiteX33" fmla="*/ 4075446 w 4652506"/>
            <a:gd name="connsiteY33" fmla="*/ 5635130 h 7007051"/>
            <a:gd name="connsiteX34" fmla="*/ 4300210 w 4652506"/>
            <a:gd name="connsiteY34" fmla="*/ 5628701 h 7007051"/>
            <a:gd name="connsiteX35" fmla="*/ 4219776 w 4652506"/>
            <a:gd name="connsiteY35" fmla="*/ 5819509 h 7007051"/>
            <a:gd name="connsiteX36" fmla="*/ 4057601 w 4652506"/>
            <a:gd name="connsiteY36" fmla="*/ 5953301 h 7007051"/>
            <a:gd name="connsiteX37" fmla="*/ 3966490 w 4652506"/>
            <a:gd name="connsiteY37" fmla="*/ 6384095 h 7007051"/>
            <a:gd name="connsiteX38" fmla="*/ 4454205 w 4652506"/>
            <a:gd name="connsiteY38" fmla="*/ 7007051 h 7007051"/>
            <a:gd name="connsiteX39" fmla="*/ 12900 w 4652506"/>
            <a:gd name="connsiteY39" fmla="*/ 6992686 h 7007051"/>
            <a:gd name="connsiteX0" fmla="*/ 12900 w 4652506"/>
            <a:gd name="connsiteY0" fmla="*/ 6992686 h 7007051"/>
            <a:gd name="connsiteX1" fmla="*/ 12900 w 4652506"/>
            <a:gd name="connsiteY1" fmla="*/ 2611187 h 7007051"/>
            <a:gd name="connsiteX2" fmla="*/ 4000 w 4652506"/>
            <a:gd name="connsiteY2" fmla="*/ 1239764 h 7007051"/>
            <a:gd name="connsiteX3" fmla="*/ 4000 w 4652506"/>
            <a:gd name="connsiteY3" fmla="*/ 17389 h 7007051"/>
            <a:gd name="connsiteX4" fmla="*/ 1632181 w 4652506"/>
            <a:gd name="connsiteY4" fmla="*/ 0 h 7007051"/>
            <a:gd name="connsiteX5" fmla="*/ 1644235 w 4652506"/>
            <a:gd name="connsiteY5" fmla="*/ 654878 h 7007051"/>
            <a:gd name="connsiteX6" fmla="*/ 1721297 w 4652506"/>
            <a:gd name="connsiteY6" fmla="*/ 795713 h 7007051"/>
            <a:gd name="connsiteX7" fmla="*/ 1632323 w 4652506"/>
            <a:gd name="connsiteY7" fmla="*/ 960913 h 7007051"/>
            <a:gd name="connsiteX8" fmla="*/ 1555131 w 4652506"/>
            <a:gd name="connsiteY8" fmla="*/ 1525409 h 7007051"/>
            <a:gd name="connsiteX9" fmla="*/ 984682 w 4652506"/>
            <a:gd name="connsiteY9" fmla="*/ 2014444 h 7007051"/>
            <a:gd name="connsiteX10" fmla="*/ 1013726 w 4652506"/>
            <a:gd name="connsiteY10" fmla="*/ 2574019 h 7007051"/>
            <a:gd name="connsiteX11" fmla="*/ 1150351 w 4652506"/>
            <a:gd name="connsiteY11" fmla="*/ 2844758 h 7007051"/>
            <a:gd name="connsiteX12" fmla="*/ 1301467 w 4652506"/>
            <a:gd name="connsiteY12" fmla="*/ 2900708 h 7007051"/>
            <a:gd name="connsiteX13" fmla="*/ 1467892 w 4652506"/>
            <a:gd name="connsiteY13" fmla="*/ 2960348 h 7007051"/>
            <a:gd name="connsiteX14" fmla="*/ 1542869 w 4652506"/>
            <a:gd name="connsiteY14" fmla="*/ 3111210 h 7007051"/>
            <a:gd name="connsiteX15" fmla="*/ 1672382 w 4652506"/>
            <a:gd name="connsiteY15" fmla="*/ 3210908 h 7007051"/>
            <a:gd name="connsiteX16" fmla="*/ 1887487 w 4652506"/>
            <a:gd name="connsiteY16" fmla="*/ 3319108 h 7007051"/>
            <a:gd name="connsiteX17" fmla="*/ 2357669 w 4652506"/>
            <a:gd name="connsiteY17" fmla="*/ 3161229 h 7007051"/>
            <a:gd name="connsiteX18" fmla="*/ 2633873 w 4652506"/>
            <a:gd name="connsiteY18" fmla="*/ 3078643 h 7007051"/>
            <a:gd name="connsiteX19" fmla="*/ 2596033 w 4652506"/>
            <a:gd name="connsiteY19" fmla="*/ 3283177 h 7007051"/>
            <a:gd name="connsiteX20" fmla="*/ 2637154 w 4652506"/>
            <a:gd name="connsiteY20" fmla="*/ 3436080 h 7007051"/>
            <a:gd name="connsiteX21" fmla="*/ 2893037 w 4652506"/>
            <a:gd name="connsiteY21" fmla="*/ 3554559 h 7007051"/>
            <a:gd name="connsiteX22" fmla="*/ 3317352 w 4652506"/>
            <a:gd name="connsiteY22" fmla="*/ 3799685 h 7007051"/>
            <a:gd name="connsiteX23" fmla="*/ 3383911 w 4652506"/>
            <a:gd name="connsiteY23" fmla="*/ 4018854 h 7007051"/>
            <a:gd name="connsiteX24" fmla="*/ 3611651 w 4652506"/>
            <a:gd name="connsiteY24" fmla="*/ 4189085 h 7007051"/>
            <a:gd name="connsiteX25" fmla="*/ 3562243 w 4652506"/>
            <a:gd name="connsiteY25" fmla="*/ 4462626 h 7007051"/>
            <a:gd name="connsiteX26" fmla="*/ 3467805 w 4652506"/>
            <a:gd name="connsiteY26" fmla="*/ 4661583 h 7007051"/>
            <a:gd name="connsiteX27" fmla="*/ 3668060 w 4652506"/>
            <a:gd name="connsiteY27" fmla="*/ 4707646 h 7007051"/>
            <a:gd name="connsiteX28" fmla="*/ 3745746 w 4652506"/>
            <a:gd name="connsiteY28" fmla="*/ 4860605 h 7007051"/>
            <a:gd name="connsiteX29" fmla="*/ 3719012 w 4652506"/>
            <a:gd name="connsiteY29" fmla="*/ 5046272 h 7007051"/>
            <a:gd name="connsiteX30" fmla="*/ 4083088 w 4652506"/>
            <a:gd name="connsiteY30" fmla="*/ 5180238 h 7007051"/>
            <a:gd name="connsiteX31" fmla="*/ 4117263 w 4652506"/>
            <a:gd name="connsiteY31" fmla="*/ 5383001 h 7007051"/>
            <a:gd name="connsiteX32" fmla="*/ 4312130 w 4652506"/>
            <a:gd name="connsiteY32" fmla="*/ 5401041 h 7007051"/>
            <a:gd name="connsiteX33" fmla="*/ 4075446 w 4652506"/>
            <a:gd name="connsiteY33" fmla="*/ 5635130 h 7007051"/>
            <a:gd name="connsiteX34" fmla="*/ 4300210 w 4652506"/>
            <a:gd name="connsiteY34" fmla="*/ 5628701 h 7007051"/>
            <a:gd name="connsiteX35" fmla="*/ 4219776 w 4652506"/>
            <a:gd name="connsiteY35" fmla="*/ 5819509 h 7007051"/>
            <a:gd name="connsiteX36" fmla="*/ 4057601 w 4652506"/>
            <a:gd name="connsiteY36" fmla="*/ 5953301 h 7007051"/>
            <a:gd name="connsiteX37" fmla="*/ 3966490 w 4652506"/>
            <a:gd name="connsiteY37" fmla="*/ 6384095 h 7007051"/>
            <a:gd name="connsiteX38" fmla="*/ 4454205 w 4652506"/>
            <a:gd name="connsiteY38" fmla="*/ 7007051 h 7007051"/>
            <a:gd name="connsiteX39" fmla="*/ 12900 w 4652506"/>
            <a:gd name="connsiteY39" fmla="*/ 6992686 h 7007051"/>
            <a:gd name="connsiteX0" fmla="*/ 12900 w 4652506"/>
            <a:gd name="connsiteY0" fmla="*/ 6992686 h 7007051"/>
            <a:gd name="connsiteX1" fmla="*/ 12900 w 4652506"/>
            <a:gd name="connsiteY1" fmla="*/ 2611187 h 7007051"/>
            <a:gd name="connsiteX2" fmla="*/ 4000 w 4652506"/>
            <a:gd name="connsiteY2" fmla="*/ 1239764 h 7007051"/>
            <a:gd name="connsiteX3" fmla="*/ 4000 w 4652506"/>
            <a:gd name="connsiteY3" fmla="*/ 17389 h 7007051"/>
            <a:gd name="connsiteX4" fmla="*/ 1632181 w 4652506"/>
            <a:gd name="connsiteY4" fmla="*/ 0 h 7007051"/>
            <a:gd name="connsiteX5" fmla="*/ 1644235 w 4652506"/>
            <a:gd name="connsiteY5" fmla="*/ 654878 h 7007051"/>
            <a:gd name="connsiteX6" fmla="*/ 1721297 w 4652506"/>
            <a:gd name="connsiteY6" fmla="*/ 795713 h 7007051"/>
            <a:gd name="connsiteX7" fmla="*/ 1632323 w 4652506"/>
            <a:gd name="connsiteY7" fmla="*/ 960913 h 7007051"/>
            <a:gd name="connsiteX8" fmla="*/ 1555131 w 4652506"/>
            <a:gd name="connsiteY8" fmla="*/ 1525409 h 7007051"/>
            <a:gd name="connsiteX9" fmla="*/ 984682 w 4652506"/>
            <a:gd name="connsiteY9" fmla="*/ 2014444 h 7007051"/>
            <a:gd name="connsiteX10" fmla="*/ 1013726 w 4652506"/>
            <a:gd name="connsiteY10" fmla="*/ 2574019 h 7007051"/>
            <a:gd name="connsiteX11" fmla="*/ 1150351 w 4652506"/>
            <a:gd name="connsiteY11" fmla="*/ 2844758 h 7007051"/>
            <a:gd name="connsiteX12" fmla="*/ 1301467 w 4652506"/>
            <a:gd name="connsiteY12" fmla="*/ 2900708 h 7007051"/>
            <a:gd name="connsiteX13" fmla="*/ 1583346 w 4652506"/>
            <a:gd name="connsiteY13" fmla="*/ 2960348 h 7007051"/>
            <a:gd name="connsiteX14" fmla="*/ 1542869 w 4652506"/>
            <a:gd name="connsiteY14" fmla="*/ 3111210 h 7007051"/>
            <a:gd name="connsiteX15" fmla="*/ 1672382 w 4652506"/>
            <a:gd name="connsiteY15" fmla="*/ 3210908 h 7007051"/>
            <a:gd name="connsiteX16" fmla="*/ 1887487 w 4652506"/>
            <a:gd name="connsiteY16" fmla="*/ 3319108 h 7007051"/>
            <a:gd name="connsiteX17" fmla="*/ 2357669 w 4652506"/>
            <a:gd name="connsiteY17" fmla="*/ 3161229 h 7007051"/>
            <a:gd name="connsiteX18" fmla="*/ 2633873 w 4652506"/>
            <a:gd name="connsiteY18" fmla="*/ 3078643 h 7007051"/>
            <a:gd name="connsiteX19" fmla="*/ 2596033 w 4652506"/>
            <a:gd name="connsiteY19" fmla="*/ 3283177 h 7007051"/>
            <a:gd name="connsiteX20" fmla="*/ 2637154 w 4652506"/>
            <a:gd name="connsiteY20" fmla="*/ 3436080 h 7007051"/>
            <a:gd name="connsiteX21" fmla="*/ 2893037 w 4652506"/>
            <a:gd name="connsiteY21" fmla="*/ 3554559 h 7007051"/>
            <a:gd name="connsiteX22" fmla="*/ 3317352 w 4652506"/>
            <a:gd name="connsiteY22" fmla="*/ 3799685 h 7007051"/>
            <a:gd name="connsiteX23" fmla="*/ 3383911 w 4652506"/>
            <a:gd name="connsiteY23" fmla="*/ 4018854 h 7007051"/>
            <a:gd name="connsiteX24" fmla="*/ 3611651 w 4652506"/>
            <a:gd name="connsiteY24" fmla="*/ 4189085 h 7007051"/>
            <a:gd name="connsiteX25" fmla="*/ 3562243 w 4652506"/>
            <a:gd name="connsiteY25" fmla="*/ 4462626 h 7007051"/>
            <a:gd name="connsiteX26" fmla="*/ 3467805 w 4652506"/>
            <a:gd name="connsiteY26" fmla="*/ 4661583 h 7007051"/>
            <a:gd name="connsiteX27" fmla="*/ 3668060 w 4652506"/>
            <a:gd name="connsiteY27" fmla="*/ 4707646 h 7007051"/>
            <a:gd name="connsiteX28" fmla="*/ 3745746 w 4652506"/>
            <a:gd name="connsiteY28" fmla="*/ 4860605 h 7007051"/>
            <a:gd name="connsiteX29" fmla="*/ 3719012 w 4652506"/>
            <a:gd name="connsiteY29" fmla="*/ 5046272 h 7007051"/>
            <a:gd name="connsiteX30" fmla="*/ 4083088 w 4652506"/>
            <a:gd name="connsiteY30" fmla="*/ 5180238 h 7007051"/>
            <a:gd name="connsiteX31" fmla="*/ 4117263 w 4652506"/>
            <a:gd name="connsiteY31" fmla="*/ 5383001 h 7007051"/>
            <a:gd name="connsiteX32" fmla="*/ 4312130 w 4652506"/>
            <a:gd name="connsiteY32" fmla="*/ 5401041 h 7007051"/>
            <a:gd name="connsiteX33" fmla="*/ 4075446 w 4652506"/>
            <a:gd name="connsiteY33" fmla="*/ 5635130 h 7007051"/>
            <a:gd name="connsiteX34" fmla="*/ 4300210 w 4652506"/>
            <a:gd name="connsiteY34" fmla="*/ 5628701 h 7007051"/>
            <a:gd name="connsiteX35" fmla="*/ 4219776 w 4652506"/>
            <a:gd name="connsiteY35" fmla="*/ 5819509 h 7007051"/>
            <a:gd name="connsiteX36" fmla="*/ 4057601 w 4652506"/>
            <a:gd name="connsiteY36" fmla="*/ 5953301 h 7007051"/>
            <a:gd name="connsiteX37" fmla="*/ 3966490 w 4652506"/>
            <a:gd name="connsiteY37" fmla="*/ 6384095 h 7007051"/>
            <a:gd name="connsiteX38" fmla="*/ 4454205 w 4652506"/>
            <a:gd name="connsiteY38" fmla="*/ 7007051 h 7007051"/>
            <a:gd name="connsiteX39" fmla="*/ 12900 w 4652506"/>
            <a:gd name="connsiteY39" fmla="*/ 6992686 h 7007051"/>
            <a:gd name="connsiteX0" fmla="*/ 12900 w 4652506"/>
            <a:gd name="connsiteY0" fmla="*/ 6992686 h 7007051"/>
            <a:gd name="connsiteX1" fmla="*/ 12900 w 4652506"/>
            <a:gd name="connsiteY1" fmla="*/ 2611187 h 7007051"/>
            <a:gd name="connsiteX2" fmla="*/ 4000 w 4652506"/>
            <a:gd name="connsiteY2" fmla="*/ 1239764 h 7007051"/>
            <a:gd name="connsiteX3" fmla="*/ 4000 w 4652506"/>
            <a:gd name="connsiteY3" fmla="*/ 17389 h 7007051"/>
            <a:gd name="connsiteX4" fmla="*/ 1632181 w 4652506"/>
            <a:gd name="connsiteY4" fmla="*/ 0 h 7007051"/>
            <a:gd name="connsiteX5" fmla="*/ 1644235 w 4652506"/>
            <a:gd name="connsiteY5" fmla="*/ 654878 h 7007051"/>
            <a:gd name="connsiteX6" fmla="*/ 1721297 w 4652506"/>
            <a:gd name="connsiteY6" fmla="*/ 795713 h 7007051"/>
            <a:gd name="connsiteX7" fmla="*/ 1632323 w 4652506"/>
            <a:gd name="connsiteY7" fmla="*/ 960913 h 7007051"/>
            <a:gd name="connsiteX8" fmla="*/ 1555131 w 4652506"/>
            <a:gd name="connsiteY8" fmla="*/ 1525409 h 7007051"/>
            <a:gd name="connsiteX9" fmla="*/ 984682 w 4652506"/>
            <a:gd name="connsiteY9" fmla="*/ 2014444 h 7007051"/>
            <a:gd name="connsiteX10" fmla="*/ 1013726 w 4652506"/>
            <a:gd name="connsiteY10" fmla="*/ 2574019 h 7007051"/>
            <a:gd name="connsiteX11" fmla="*/ 1150351 w 4652506"/>
            <a:gd name="connsiteY11" fmla="*/ 2844758 h 7007051"/>
            <a:gd name="connsiteX12" fmla="*/ 1301467 w 4652506"/>
            <a:gd name="connsiteY12" fmla="*/ 2900708 h 7007051"/>
            <a:gd name="connsiteX13" fmla="*/ 1572850 w 4652506"/>
            <a:gd name="connsiteY13" fmla="*/ 2932892 h 7007051"/>
            <a:gd name="connsiteX14" fmla="*/ 1542869 w 4652506"/>
            <a:gd name="connsiteY14" fmla="*/ 3111210 h 7007051"/>
            <a:gd name="connsiteX15" fmla="*/ 1672382 w 4652506"/>
            <a:gd name="connsiteY15" fmla="*/ 3210908 h 7007051"/>
            <a:gd name="connsiteX16" fmla="*/ 1887487 w 4652506"/>
            <a:gd name="connsiteY16" fmla="*/ 3319108 h 7007051"/>
            <a:gd name="connsiteX17" fmla="*/ 2357669 w 4652506"/>
            <a:gd name="connsiteY17" fmla="*/ 3161229 h 7007051"/>
            <a:gd name="connsiteX18" fmla="*/ 2633873 w 4652506"/>
            <a:gd name="connsiteY18" fmla="*/ 3078643 h 7007051"/>
            <a:gd name="connsiteX19" fmla="*/ 2596033 w 4652506"/>
            <a:gd name="connsiteY19" fmla="*/ 3283177 h 7007051"/>
            <a:gd name="connsiteX20" fmla="*/ 2637154 w 4652506"/>
            <a:gd name="connsiteY20" fmla="*/ 3436080 h 7007051"/>
            <a:gd name="connsiteX21" fmla="*/ 2893037 w 4652506"/>
            <a:gd name="connsiteY21" fmla="*/ 3554559 h 7007051"/>
            <a:gd name="connsiteX22" fmla="*/ 3317352 w 4652506"/>
            <a:gd name="connsiteY22" fmla="*/ 3799685 h 7007051"/>
            <a:gd name="connsiteX23" fmla="*/ 3383911 w 4652506"/>
            <a:gd name="connsiteY23" fmla="*/ 4018854 h 7007051"/>
            <a:gd name="connsiteX24" fmla="*/ 3611651 w 4652506"/>
            <a:gd name="connsiteY24" fmla="*/ 4189085 h 7007051"/>
            <a:gd name="connsiteX25" fmla="*/ 3562243 w 4652506"/>
            <a:gd name="connsiteY25" fmla="*/ 4462626 h 7007051"/>
            <a:gd name="connsiteX26" fmla="*/ 3467805 w 4652506"/>
            <a:gd name="connsiteY26" fmla="*/ 4661583 h 7007051"/>
            <a:gd name="connsiteX27" fmla="*/ 3668060 w 4652506"/>
            <a:gd name="connsiteY27" fmla="*/ 4707646 h 7007051"/>
            <a:gd name="connsiteX28" fmla="*/ 3745746 w 4652506"/>
            <a:gd name="connsiteY28" fmla="*/ 4860605 h 7007051"/>
            <a:gd name="connsiteX29" fmla="*/ 3719012 w 4652506"/>
            <a:gd name="connsiteY29" fmla="*/ 5046272 h 7007051"/>
            <a:gd name="connsiteX30" fmla="*/ 4083088 w 4652506"/>
            <a:gd name="connsiteY30" fmla="*/ 5180238 h 7007051"/>
            <a:gd name="connsiteX31" fmla="*/ 4117263 w 4652506"/>
            <a:gd name="connsiteY31" fmla="*/ 5383001 h 7007051"/>
            <a:gd name="connsiteX32" fmla="*/ 4312130 w 4652506"/>
            <a:gd name="connsiteY32" fmla="*/ 5401041 h 7007051"/>
            <a:gd name="connsiteX33" fmla="*/ 4075446 w 4652506"/>
            <a:gd name="connsiteY33" fmla="*/ 5635130 h 7007051"/>
            <a:gd name="connsiteX34" fmla="*/ 4300210 w 4652506"/>
            <a:gd name="connsiteY34" fmla="*/ 5628701 h 7007051"/>
            <a:gd name="connsiteX35" fmla="*/ 4219776 w 4652506"/>
            <a:gd name="connsiteY35" fmla="*/ 5819509 h 7007051"/>
            <a:gd name="connsiteX36" fmla="*/ 4057601 w 4652506"/>
            <a:gd name="connsiteY36" fmla="*/ 5953301 h 7007051"/>
            <a:gd name="connsiteX37" fmla="*/ 3966490 w 4652506"/>
            <a:gd name="connsiteY37" fmla="*/ 6384095 h 7007051"/>
            <a:gd name="connsiteX38" fmla="*/ 4454205 w 4652506"/>
            <a:gd name="connsiteY38" fmla="*/ 7007051 h 7007051"/>
            <a:gd name="connsiteX39" fmla="*/ 12900 w 4652506"/>
            <a:gd name="connsiteY39" fmla="*/ 6992686 h 7007051"/>
            <a:gd name="connsiteX0" fmla="*/ 12900 w 4652506"/>
            <a:gd name="connsiteY0" fmla="*/ 6992686 h 7007051"/>
            <a:gd name="connsiteX1" fmla="*/ 12900 w 4652506"/>
            <a:gd name="connsiteY1" fmla="*/ 2611187 h 7007051"/>
            <a:gd name="connsiteX2" fmla="*/ 4000 w 4652506"/>
            <a:gd name="connsiteY2" fmla="*/ 1239764 h 7007051"/>
            <a:gd name="connsiteX3" fmla="*/ 4000 w 4652506"/>
            <a:gd name="connsiteY3" fmla="*/ 17389 h 7007051"/>
            <a:gd name="connsiteX4" fmla="*/ 1632181 w 4652506"/>
            <a:gd name="connsiteY4" fmla="*/ 0 h 7007051"/>
            <a:gd name="connsiteX5" fmla="*/ 1644235 w 4652506"/>
            <a:gd name="connsiteY5" fmla="*/ 654878 h 7007051"/>
            <a:gd name="connsiteX6" fmla="*/ 1721297 w 4652506"/>
            <a:gd name="connsiteY6" fmla="*/ 795713 h 7007051"/>
            <a:gd name="connsiteX7" fmla="*/ 1632323 w 4652506"/>
            <a:gd name="connsiteY7" fmla="*/ 960913 h 7007051"/>
            <a:gd name="connsiteX8" fmla="*/ 1555131 w 4652506"/>
            <a:gd name="connsiteY8" fmla="*/ 1525409 h 7007051"/>
            <a:gd name="connsiteX9" fmla="*/ 984682 w 4652506"/>
            <a:gd name="connsiteY9" fmla="*/ 2014444 h 7007051"/>
            <a:gd name="connsiteX10" fmla="*/ 1013726 w 4652506"/>
            <a:gd name="connsiteY10" fmla="*/ 2574019 h 7007051"/>
            <a:gd name="connsiteX11" fmla="*/ 1150351 w 4652506"/>
            <a:gd name="connsiteY11" fmla="*/ 2844758 h 7007051"/>
            <a:gd name="connsiteX12" fmla="*/ 1301467 w 4652506"/>
            <a:gd name="connsiteY12" fmla="*/ 2900708 h 7007051"/>
            <a:gd name="connsiteX13" fmla="*/ 1572850 w 4652506"/>
            <a:gd name="connsiteY13" fmla="*/ 2932892 h 7007051"/>
            <a:gd name="connsiteX14" fmla="*/ 1542869 w 4652506"/>
            <a:gd name="connsiteY14" fmla="*/ 3111210 h 7007051"/>
            <a:gd name="connsiteX15" fmla="*/ 1672382 w 4652506"/>
            <a:gd name="connsiteY15" fmla="*/ 3210908 h 7007051"/>
            <a:gd name="connsiteX16" fmla="*/ 1887487 w 4652506"/>
            <a:gd name="connsiteY16" fmla="*/ 3319108 h 7007051"/>
            <a:gd name="connsiteX17" fmla="*/ 2357669 w 4652506"/>
            <a:gd name="connsiteY17" fmla="*/ 3161229 h 7007051"/>
            <a:gd name="connsiteX18" fmla="*/ 2633873 w 4652506"/>
            <a:gd name="connsiteY18" fmla="*/ 3078643 h 7007051"/>
            <a:gd name="connsiteX19" fmla="*/ 2596033 w 4652506"/>
            <a:gd name="connsiteY19" fmla="*/ 3283177 h 7007051"/>
            <a:gd name="connsiteX20" fmla="*/ 2637154 w 4652506"/>
            <a:gd name="connsiteY20" fmla="*/ 3436080 h 7007051"/>
            <a:gd name="connsiteX21" fmla="*/ 2893037 w 4652506"/>
            <a:gd name="connsiteY21" fmla="*/ 3554559 h 7007051"/>
            <a:gd name="connsiteX22" fmla="*/ 3317352 w 4652506"/>
            <a:gd name="connsiteY22" fmla="*/ 3799685 h 7007051"/>
            <a:gd name="connsiteX23" fmla="*/ 3383911 w 4652506"/>
            <a:gd name="connsiteY23" fmla="*/ 4018854 h 7007051"/>
            <a:gd name="connsiteX24" fmla="*/ 3611651 w 4652506"/>
            <a:gd name="connsiteY24" fmla="*/ 4189085 h 7007051"/>
            <a:gd name="connsiteX25" fmla="*/ 3562243 w 4652506"/>
            <a:gd name="connsiteY25" fmla="*/ 4462626 h 7007051"/>
            <a:gd name="connsiteX26" fmla="*/ 3467805 w 4652506"/>
            <a:gd name="connsiteY26" fmla="*/ 4661583 h 7007051"/>
            <a:gd name="connsiteX27" fmla="*/ 3668060 w 4652506"/>
            <a:gd name="connsiteY27" fmla="*/ 4707646 h 7007051"/>
            <a:gd name="connsiteX28" fmla="*/ 3745746 w 4652506"/>
            <a:gd name="connsiteY28" fmla="*/ 4860605 h 7007051"/>
            <a:gd name="connsiteX29" fmla="*/ 3719012 w 4652506"/>
            <a:gd name="connsiteY29" fmla="*/ 5046272 h 7007051"/>
            <a:gd name="connsiteX30" fmla="*/ 4083088 w 4652506"/>
            <a:gd name="connsiteY30" fmla="*/ 5180238 h 7007051"/>
            <a:gd name="connsiteX31" fmla="*/ 4117263 w 4652506"/>
            <a:gd name="connsiteY31" fmla="*/ 5383001 h 7007051"/>
            <a:gd name="connsiteX32" fmla="*/ 4312130 w 4652506"/>
            <a:gd name="connsiteY32" fmla="*/ 5401041 h 7007051"/>
            <a:gd name="connsiteX33" fmla="*/ 4075446 w 4652506"/>
            <a:gd name="connsiteY33" fmla="*/ 5635130 h 7007051"/>
            <a:gd name="connsiteX34" fmla="*/ 4300210 w 4652506"/>
            <a:gd name="connsiteY34" fmla="*/ 5628701 h 7007051"/>
            <a:gd name="connsiteX35" fmla="*/ 4219776 w 4652506"/>
            <a:gd name="connsiteY35" fmla="*/ 5819509 h 7007051"/>
            <a:gd name="connsiteX36" fmla="*/ 4057601 w 4652506"/>
            <a:gd name="connsiteY36" fmla="*/ 5953301 h 7007051"/>
            <a:gd name="connsiteX37" fmla="*/ 3966490 w 4652506"/>
            <a:gd name="connsiteY37" fmla="*/ 6384095 h 7007051"/>
            <a:gd name="connsiteX38" fmla="*/ 4454205 w 4652506"/>
            <a:gd name="connsiteY38" fmla="*/ 7007051 h 7007051"/>
            <a:gd name="connsiteX39" fmla="*/ 12900 w 4652506"/>
            <a:gd name="connsiteY39" fmla="*/ 6992686 h 7007051"/>
            <a:gd name="connsiteX0" fmla="*/ 12900 w 4652506"/>
            <a:gd name="connsiteY0" fmla="*/ 6992686 h 7007051"/>
            <a:gd name="connsiteX1" fmla="*/ 12900 w 4652506"/>
            <a:gd name="connsiteY1" fmla="*/ 2611187 h 7007051"/>
            <a:gd name="connsiteX2" fmla="*/ 4000 w 4652506"/>
            <a:gd name="connsiteY2" fmla="*/ 1239764 h 7007051"/>
            <a:gd name="connsiteX3" fmla="*/ 4000 w 4652506"/>
            <a:gd name="connsiteY3" fmla="*/ 17389 h 7007051"/>
            <a:gd name="connsiteX4" fmla="*/ 1632181 w 4652506"/>
            <a:gd name="connsiteY4" fmla="*/ 0 h 7007051"/>
            <a:gd name="connsiteX5" fmla="*/ 1644235 w 4652506"/>
            <a:gd name="connsiteY5" fmla="*/ 654878 h 7007051"/>
            <a:gd name="connsiteX6" fmla="*/ 1721297 w 4652506"/>
            <a:gd name="connsiteY6" fmla="*/ 795713 h 7007051"/>
            <a:gd name="connsiteX7" fmla="*/ 1632323 w 4652506"/>
            <a:gd name="connsiteY7" fmla="*/ 960913 h 7007051"/>
            <a:gd name="connsiteX8" fmla="*/ 1555131 w 4652506"/>
            <a:gd name="connsiteY8" fmla="*/ 1525409 h 7007051"/>
            <a:gd name="connsiteX9" fmla="*/ 984682 w 4652506"/>
            <a:gd name="connsiteY9" fmla="*/ 2014444 h 7007051"/>
            <a:gd name="connsiteX10" fmla="*/ 1013726 w 4652506"/>
            <a:gd name="connsiteY10" fmla="*/ 2574019 h 7007051"/>
            <a:gd name="connsiteX11" fmla="*/ 1150351 w 4652506"/>
            <a:gd name="connsiteY11" fmla="*/ 2844758 h 7007051"/>
            <a:gd name="connsiteX12" fmla="*/ 1301467 w 4652506"/>
            <a:gd name="connsiteY12" fmla="*/ 2900708 h 7007051"/>
            <a:gd name="connsiteX13" fmla="*/ 1572850 w 4652506"/>
            <a:gd name="connsiteY13" fmla="*/ 2932892 h 7007051"/>
            <a:gd name="connsiteX14" fmla="*/ 1542869 w 4652506"/>
            <a:gd name="connsiteY14" fmla="*/ 3111210 h 7007051"/>
            <a:gd name="connsiteX15" fmla="*/ 1672382 w 4652506"/>
            <a:gd name="connsiteY15" fmla="*/ 3210908 h 7007051"/>
            <a:gd name="connsiteX16" fmla="*/ 1887487 w 4652506"/>
            <a:gd name="connsiteY16" fmla="*/ 3319108 h 7007051"/>
            <a:gd name="connsiteX17" fmla="*/ 2357669 w 4652506"/>
            <a:gd name="connsiteY17" fmla="*/ 3161229 h 7007051"/>
            <a:gd name="connsiteX18" fmla="*/ 2623377 w 4652506"/>
            <a:gd name="connsiteY18" fmla="*/ 3032883 h 7007051"/>
            <a:gd name="connsiteX19" fmla="*/ 2596033 w 4652506"/>
            <a:gd name="connsiteY19" fmla="*/ 3283177 h 7007051"/>
            <a:gd name="connsiteX20" fmla="*/ 2637154 w 4652506"/>
            <a:gd name="connsiteY20" fmla="*/ 3436080 h 7007051"/>
            <a:gd name="connsiteX21" fmla="*/ 2893037 w 4652506"/>
            <a:gd name="connsiteY21" fmla="*/ 3554559 h 7007051"/>
            <a:gd name="connsiteX22" fmla="*/ 3317352 w 4652506"/>
            <a:gd name="connsiteY22" fmla="*/ 3799685 h 7007051"/>
            <a:gd name="connsiteX23" fmla="*/ 3383911 w 4652506"/>
            <a:gd name="connsiteY23" fmla="*/ 4018854 h 7007051"/>
            <a:gd name="connsiteX24" fmla="*/ 3611651 w 4652506"/>
            <a:gd name="connsiteY24" fmla="*/ 4189085 h 7007051"/>
            <a:gd name="connsiteX25" fmla="*/ 3562243 w 4652506"/>
            <a:gd name="connsiteY25" fmla="*/ 4462626 h 7007051"/>
            <a:gd name="connsiteX26" fmla="*/ 3467805 w 4652506"/>
            <a:gd name="connsiteY26" fmla="*/ 4661583 h 7007051"/>
            <a:gd name="connsiteX27" fmla="*/ 3668060 w 4652506"/>
            <a:gd name="connsiteY27" fmla="*/ 4707646 h 7007051"/>
            <a:gd name="connsiteX28" fmla="*/ 3745746 w 4652506"/>
            <a:gd name="connsiteY28" fmla="*/ 4860605 h 7007051"/>
            <a:gd name="connsiteX29" fmla="*/ 3719012 w 4652506"/>
            <a:gd name="connsiteY29" fmla="*/ 5046272 h 7007051"/>
            <a:gd name="connsiteX30" fmla="*/ 4083088 w 4652506"/>
            <a:gd name="connsiteY30" fmla="*/ 5180238 h 7007051"/>
            <a:gd name="connsiteX31" fmla="*/ 4117263 w 4652506"/>
            <a:gd name="connsiteY31" fmla="*/ 5383001 h 7007051"/>
            <a:gd name="connsiteX32" fmla="*/ 4312130 w 4652506"/>
            <a:gd name="connsiteY32" fmla="*/ 5401041 h 7007051"/>
            <a:gd name="connsiteX33" fmla="*/ 4075446 w 4652506"/>
            <a:gd name="connsiteY33" fmla="*/ 5635130 h 7007051"/>
            <a:gd name="connsiteX34" fmla="*/ 4300210 w 4652506"/>
            <a:gd name="connsiteY34" fmla="*/ 5628701 h 7007051"/>
            <a:gd name="connsiteX35" fmla="*/ 4219776 w 4652506"/>
            <a:gd name="connsiteY35" fmla="*/ 5819509 h 7007051"/>
            <a:gd name="connsiteX36" fmla="*/ 4057601 w 4652506"/>
            <a:gd name="connsiteY36" fmla="*/ 5953301 h 7007051"/>
            <a:gd name="connsiteX37" fmla="*/ 3966490 w 4652506"/>
            <a:gd name="connsiteY37" fmla="*/ 6384095 h 7007051"/>
            <a:gd name="connsiteX38" fmla="*/ 4454205 w 4652506"/>
            <a:gd name="connsiteY38" fmla="*/ 7007051 h 7007051"/>
            <a:gd name="connsiteX39" fmla="*/ 12900 w 4652506"/>
            <a:gd name="connsiteY39" fmla="*/ 6992686 h 7007051"/>
            <a:gd name="connsiteX0" fmla="*/ 12900 w 4652506"/>
            <a:gd name="connsiteY0" fmla="*/ 6992686 h 7007051"/>
            <a:gd name="connsiteX1" fmla="*/ 12900 w 4652506"/>
            <a:gd name="connsiteY1" fmla="*/ 2611187 h 7007051"/>
            <a:gd name="connsiteX2" fmla="*/ 4000 w 4652506"/>
            <a:gd name="connsiteY2" fmla="*/ 1239764 h 7007051"/>
            <a:gd name="connsiteX3" fmla="*/ 4000 w 4652506"/>
            <a:gd name="connsiteY3" fmla="*/ 17389 h 7007051"/>
            <a:gd name="connsiteX4" fmla="*/ 1632181 w 4652506"/>
            <a:gd name="connsiteY4" fmla="*/ 0 h 7007051"/>
            <a:gd name="connsiteX5" fmla="*/ 1644235 w 4652506"/>
            <a:gd name="connsiteY5" fmla="*/ 654878 h 7007051"/>
            <a:gd name="connsiteX6" fmla="*/ 1721297 w 4652506"/>
            <a:gd name="connsiteY6" fmla="*/ 795713 h 7007051"/>
            <a:gd name="connsiteX7" fmla="*/ 1632323 w 4652506"/>
            <a:gd name="connsiteY7" fmla="*/ 960913 h 7007051"/>
            <a:gd name="connsiteX8" fmla="*/ 1555131 w 4652506"/>
            <a:gd name="connsiteY8" fmla="*/ 1525409 h 7007051"/>
            <a:gd name="connsiteX9" fmla="*/ 984682 w 4652506"/>
            <a:gd name="connsiteY9" fmla="*/ 2014444 h 7007051"/>
            <a:gd name="connsiteX10" fmla="*/ 1013726 w 4652506"/>
            <a:gd name="connsiteY10" fmla="*/ 2574019 h 7007051"/>
            <a:gd name="connsiteX11" fmla="*/ 1150351 w 4652506"/>
            <a:gd name="connsiteY11" fmla="*/ 2844758 h 7007051"/>
            <a:gd name="connsiteX12" fmla="*/ 1301467 w 4652506"/>
            <a:gd name="connsiteY12" fmla="*/ 2900708 h 7007051"/>
            <a:gd name="connsiteX13" fmla="*/ 1572850 w 4652506"/>
            <a:gd name="connsiteY13" fmla="*/ 2932892 h 7007051"/>
            <a:gd name="connsiteX14" fmla="*/ 1542869 w 4652506"/>
            <a:gd name="connsiteY14" fmla="*/ 3111210 h 7007051"/>
            <a:gd name="connsiteX15" fmla="*/ 1672382 w 4652506"/>
            <a:gd name="connsiteY15" fmla="*/ 3210908 h 7007051"/>
            <a:gd name="connsiteX16" fmla="*/ 1887487 w 4652506"/>
            <a:gd name="connsiteY16" fmla="*/ 3319108 h 7007051"/>
            <a:gd name="connsiteX17" fmla="*/ 2389156 w 4652506"/>
            <a:gd name="connsiteY17" fmla="*/ 3170381 h 7007051"/>
            <a:gd name="connsiteX18" fmla="*/ 2623377 w 4652506"/>
            <a:gd name="connsiteY18" fmla="*/ 3032883 h 7007051"/>
            <a:gd name="connsiteX19" fmla="*/ 2596033 w 4652506"/>
            <a:gd name="connsiteY19" fmla="*/ 3283177 h 7007051"/>
            <a:gd name="connsiteX20" fmla="*/ 2637154 w 4652506"/>
            <a:gd name="connsiteY20" fmla="*/ 3436080 h 7007051"/>
            <a:gd name="connsiteX21" fmla="*/ 2893037 w 4652506"/>
            <a:gd name="connsiteY21" fmla="*/ 3554559 h 7007051"/>
            <a:gd name="connsiteX22" fmla="*/ 3317352 w 4652506"/>
            <a:gd name="connsiteY22" fmla="*/ 3799685 h 7007051"/>
            <a:gd name="connsiteX23" fmla="*/ 3383911 w 4652506"/>
            <a:gd name="connsiteY23" fmla="*/ 4018854 h 7007051"/>
            <a:gd name="connsiteX24" fmla="*/ 3611651 w 4652506"/>
            <a:gd name="connsiteY24" fmla="*/ 4189085 h 7007051"/>
            <a:gd name="connsiteX25" fmla="*/ 3562243 w 4652506"/>
            <a:gd name="connsiteY25" fmla="*/ 4462626 h 7007051"/>
            <a:gd name="connsiteX26" fmla="*/ 3467805 w 4652506"/>
            <a:gd name="connsiteY26" fmla="*/ 4661583 h 7007051"/>
            <a:gd name="connsiteX27" fmla="*/ 3668060 w 4652506"/>
            <a:gd name="connsiteY27" fmla="*/ 4707646 h 7007051"/>
            <a:gd name="connsiteX28" fmla="*/ 3745746 w 4652506"/>
            <a:gd name="connsiteY28" fmla="*/ 4860605 h 7007051"/>
            <a:gd name="connsiteX29" fmla="*/ 3719012 w 4652506"/>
            <a:gd name="connsiteY29" fmla="*/ 5046272 h 7007051"/>
            <a:gd name="connsiteX30" fmla="*/ 4083088 w 4652506"/>
            <a:gd name="connsiteY30" fmla="*/ 5180238 h 7007051"/>
            <a:gd name="connsiteX31" fmla="*/ 4117263 w 4652506"/>
            <a:gd name="connsiteY31" fmla="*/ 5383001 h 7007051"/>
            <a:gd name="connsiteX32" fmla="*/ 4312130 w 4652506"/>
            <a:gd name="connsiteY32" fmla="*/ 5401041 h 7007051"/>
            <a:gd name="connsiteX33" fmla="*/ 4075446 w 4652506"/>
            <a:gd name="connsiteY33" fmla="*/ 5635130 h 7007051"/>
            <a:gd name="connsiteX34" fmla="*/ 4300210 w 4652506"/>
            <a:gd name="connsiteY34" fmla="*/ 5628701 h 7007051"/>
            <a:gd name="connsiteX35" fmla="*/ 4219776 w 4652506"/>
            <a:gd name="connsiteY35" fmla="*/ 5819509 h 7007051"/>
            <a:gd name="connsiteX36" fmla="*/ 4057601 w 4652506"/>
            <a:gd name="connsiteY36" fmla="*/ 5953301 h 7007051"/>
            <a:gd name="connsiteX37" fmla="*/ 3966490 w 4652506"/>
            <a:gd name="connsiteY37" fmla="*/ 6384095 h 7007051"/>
            <a:gd name="connsiteX38" fmla="*/ 4454205 w 4652506"/>
            <a:gd name="connsiteY38" fmla="*/ 7007051 h 7007051"/>
            <a:gd name="connsiteX39" fmla="*/ 12900 w 4652506"/>
            <a:gd name="connsiteY39" fmla="*/ 6992686 h 7007051"/>
            <a:gd name="connsiteX0" fmla="*/ 12900 w 4652506"/>
            <a:gd name="connsiteY0" fmla="*/ 6992686 h 7007051"/>
            <a:gd name="connsiteX1" fmla="*/ 12900 w 4652506"/>
            <a:gd name="connsiteY1" fmla="*/ 2611187 h 7007051"/>
            <a:gd name="connsiteX2" fmla="*/ 4000 w 4652506"/>
            <a:gd name="connsiteY2" fmla="*/ 1239764 h 7007051"/>
            <a:gd name="connsiteX3" fmla="*/ 4000 w 4652506"/>
            <a:gd name="connsiteY3" fmla="*/ 17389 h 7007051"/>
            <a:gd name="connsiteX4" fmla="*/ 1632181 w 4652506"/>
            <a:gd name="connsiteY4" fmla="*/ 0 h 7007051"/>
            <a:gd name="connsiteX5" fmla="*/ 1644235 w 4652506"/>
            <a:gd name="connsiteY5" fmla="*/ 654878 h 7007051"/>
            <a:gd name="connsiteX6" fmla="*/ 1721297 w 4652506"/>
            <a:gd name="connsiteY6" fmla="*/ 795713 h 7007051"/>
            <a:gd name="connsiteX7" fmla="*/ 1632323 w 4652506"/>
            <a:gd name="connsiteY7" fmla="*/ 960913 h 7007051"/>
            <a:gd name="connsiteX8" fmla="*/ 1555131 w 4652506"/>
            <a:gd name="connsiteY8" fmla="*/ 1525409 h 7007051"/>
            <a:gd name="connsiteX9" fmla="*/ 984682 w 4652506"/>
            <a:gd name="connsiteY9" fmla="*/ 2014444 h 7007051"/>
            <a:gd name="connsiteX10" fmla="*/ 1013726 w 4652506"/>
            <a:gd name="connsiteY10" fmla="*/ 2574019 h 7007051"/>
            <a:gd name="connsiteX11" fmla="*/ 1150351 w 4652506"/>
            <a:gd name="connsiteY11" fmla="*/ 2844758 h 7007051"/>
            <a:gd name="connsiteX12" fmla="*/ 1301467 w 4652506"/>
            <a:gd name="connsiteY12" fmla="*/ 2900708 h 7007051"/>
            <a:gd name="connsiteX13" fmla="*/ 1530867 w 4652506"/>
            <a:gd name="connsiteY13" fmla="*/ 2978653 h 7007051"/>
            <a:gd name="connsiteX14" fmla="*/ 1542869 w 4652506"/>
            <a:gd name="connsiteY14" fmla="*/ 3111210 h 7007051"/>
            <a:gd name="connsiteX15" fmla="*/ 1672382 w 4652506"/>
            <a:gd name="connsiteY15" fmla="*/ 3210908 h 7007051"/>
            <a:gd name="connsiteX16" fmla="*/ 1887487 w 4652506"/>
            <a:gd name="connsiteY16" fmla="*/ 3319108 h 7007051"/>
            <a:gd name="connsiteX17" fmla="*/ 2389156 w 4652506"/>
            <a:gd name="connsiteY17" fmla="*/ 3170381 h 7007051"/>
            <a:gd name="connsiteX18" fmla="*/ 2623377 w 4652506"/>
            <a:gd name="connsiteY18" fmla="*/ 3032883 h 7007051"/>
            <a:gd name="connsiteX19" fmla="*/ 2596033 w 4652506"/>
            <a:gd name="connsiteY19" fmla="*/ 3283177 h 7007051"/>
            <a:gd name="connsiteX20" fmla="*/ 2637154 w 4652506"/>
            <a:gd name="connsiteY20" fmla="*/ 3436080 h 7007051"/>
            <a:gd name="connsiteX21" fmla="*/ 2893037 w 4652506"/>
            <a:gd name="connsiteY21" fmla="*/ 3554559 h 7007051"/>
            <a:gd name="connsiteX22" fmla="*/ 3317352 w 4652506"/>
            <a:gd name="connsiteY22" fmla="*/ 3799685 h 7007051"/>
            <a:gd name="connsiteX23" fmla="*/ 3383911 w 4652506"/>
            <a:gd name="connsiteY23" fmla="*/ 4018854 h 7007051"/>
            <a:gd name="connsiteX24" fmla="*/ 3611651 w 4652506"/>
            <a:gd name="connsiteY24" fmla="*/ 4189085 h 7007051"/>
            <a:gd name="connsiteX25" fmla="*/ 3562243 w 4652506"/>
            <a:gd name="connsiteY25" fmla="*/ 4462626 h 7007051"/>
            <a:gd name="connsiteX26" fmla="*/ 3467805 w 4652506"/>
            <a:gd name="connsiteY26" fmla="*/ 4661583 h 7007051"/>
            <a:gd name="connsiteX27" fmla="*/ 3668060 w 4652506"/>
            <a:gd name="connsiteY27" fmla="*/ 4707646 h 7007051"/>
            <a:gd name="connsiteX28" fmla="*/ 3745746 w 4652506"/>
            <a:gd name="connsiteY28" fmla="*/ 4860605 h 7007051"/>
            <a:gd name="connsiteX29" fmla="*/ 3719012 w 4652506"/>
            <a:gd name="connsiteY29" fmla="*/ 5046272 h 7007051"/>
            <a:gd name="connsiteX30" fmla="*/ 4083088 w 4652506"/>
            <a:gd name="connsiteY30" fmla="*/ 5180238 h 7007051"/>
            <a:gd name="connsiteX31" fmla="*/ 4117263 w 4652506"/>
            <a:gd name="connsiteY31" fmla="*/ 5383001 h 7007051"/>
            <a:gd name="connsiteX32" fmla="*/ 4312130 w 4652506"/>
            <a:gd name="connsiteY32" fmla="*/ 5401041 h 7007051"/>
            <a:gd name="connsiteX33" fmla="*/ 4075446 w 4652506"/>
            <a:gd name="connsiteY33" fmla="*/ 5635130 h 7007051"/>
            <a:gd name="connsiteX34" fmla="*/ 4300210 w 4652506"/>
            <a:gd name="connsiteY34" fmla="*/ 5628701 h 7007051"/>
            <a:gd name="connsiteX35" fmla="*/ 4219776 w 4652506"/>
            <a:gd name="connsiteY35" fmla="*/ 5819509 h 7007051"/>
            <a:gd name="connsiteX36" fmla="*/ 4057601 w 4652506"/>
            <a:gd name="connsiteY36" fmla="*/ 5953301 h 7007051"/>
            <a:gd name="connsiteX37" fmla="*/ 3966490 w 4652506"/>
            <a:gd name="connsiteY37" fmla="*/ 6384095 h 7007051"/>
            <a:gd name="connsiteX38" fmla="*/ 4454205 w 4652506"/>
            <a:gd name="connsiteY38" fmla="*/ 7007051 h 7007051"/>
            <a:gd name="connsiteX39" fmla="*/ 12900 w 4652506"/>
            <a:gd name="connsiteY39" fmla="*/ 6992686 h 7007051"/>
            <a:gd name="connsiteX0" fmla="*/ 12900 w 4652506"/>
            <a:gd name="connsiteY0" fmla="*/ 6992686 h 7007051"/>
            <a:gd name="connsiteX1" fmla="*/ 12900 w 4652506"/>
            <a:gd name="connsiteY1" fmla="*/ 2611187 h 7007051"/>
            <a:gd name="connsiteX2" fmla="*/ 4000 w 4652506"/>
            <a:gd name="connsiteY2" fmla="*/ 1239764 h 7007051"/>
            <a:gd name="connsiteX3" fmla="*/ 4000 w 4652506"/>
            <a:gd name="connsiteY3" fmla="*/ 17389 h 7007051"/>
            <a:gd name="connsiteX4" fmla="*/ 1632181 w 4652506"/>
            <a:gd name="connsiteY4" fmla="*/ 0 h 7007051"/>
            <a:gd name="connsiteX5" fmla="*/ 1644235 w 4652506"/>
            <a:gd name="connsiteY5" fmla="*/ 654878 h 7007051"/>
            <a:gd name="connsiteX6" fmla="*/ 1721297 w 4652506"/>
            <a:gd name="connsiteY6" fmla="*/ 795713 h 7007051"/>
            <a:gd name="connsiteX7" fmla="*/ 1632323 w 4652506"/>
            <a:gd name="connsiteY7" fmla="*/ 960913 h 7007051"/>
            <a:gd name="connsiteX8" fmla="*/ 1555131 w 4652506"/>
            <a:gd name="connsiteY8" fmla="*/ 1525409 h 7007051"/>
            <a:gd name="connsiteX9" fmla="*/ 984682 w 4652506"/>
            <a:gd name="connsiteY9" fmla="*/ 2014444 h 7007051"/>
            <a:gd name="connsiteX10" fmla="*/ 1013726 w 4652506"/>
            <a:gd name="connsiteY10" fmla="*/ 2574019 h 7007051"/>
            <a:gd name="connsiteX11" fmla="*/ 1129359 w 4652506"/>
            <a:gd name="connsiteY11" fmla="*/ 2780694 h 7007051"/>
            <a:gd name="connsiteX12" fmla="*/ 1301467 w 4652506"/>
            <a:gd name="connsiteY12" fmla="*/ 2900708 h 7007051"/>
            <a:gd name="connsiteX13" fmla="*/ 1530867 w 4652506"/>
            <a:gd name="connsiteY13" fmla="*/ 2978653 h 7007051"/>
            <a:gd name="connsiteX14" fmla="*/ 1542869 w 4652506"/>
            <a:gd name="connsiteY14" fmla="*/ 3111210 h 7007051"/>
            <a:gd name="connsiteX15" fmla="*/ 1672382 w 4652506"/>
            <a:gd name="connsiteY15" fmla="*/ 3210908 h 7007051"/>
            <a:gd name="connsiteX16" fmla="*/ 1887487 w 4652506"/>
            <a:gd name="connsiteY16" fmla="*/ 3319108 h 7007051"/>
            <a:gd name="connsiteX17" fmla="*/ 2389156 w 4652506"/>
            <a:gd name="connsiteY17" fmla="*/ 3170381 h 7007051"/>
            <a:gd name="connsiteX18" fmla="*/ 2623377 w 4652506"/>
            <a:gd name="connsiteY18" fmla="*/ 3032883 h 7007051"/>
            <a:gd name="connsiteX19" fmla="*/ 2596033 w 4652506"/>
            <a:gd name="connsiteY19" fmla="*/ 3283177 h 7007051"/>
            <a:gd name="connsiteX20" fmla="*/ 2637154 w 4652506"/>
            <a:gd name="connsiteY20" fmla="*/ 3436080 h 7007051"/>
            <a:gd name="connsiteX21" fmla="*/ 2893037 w 4652506"/>
            <a:gd name="connsiteY21" fmla="*/ 3554559 h 7007051"/>
            <a:gd name="connsiteX22" fmla="*/ 3317352 w 4652506"/>
            <a:gd name="connsiteY22" fmla="*/ 3799685 h 7007051"/>
            <a:gd name="connsiteX23" fmla="*/ 3383911 w 4652506"/>
            <a:gd name="connsiteY23" fmla="*/ 4018854 h 7007051"/>
            <a:gd name="connsiteX24" fmla="*/ 3611651 w 4652506"/>
            <a:gd name="connsiteY24" fmla="*/ 4189085 h 7007051"/>
            <a:gd name="connsiteX25" fmla="*/ 3562243 w 4652506"/>
            <a:gd name="connsiteY25" fmla="*/ 4462626 h 7007051"/>
            <a:gd name="connsiteX26" fmla="*/ 3467805 w 4652506"/>
            <a:gd name="connsiteY26" fmla="*/ 4661583 h 7007051"/>
            <a:gd name="connsiteX27" fmla="*/ 3668060 w 4652506"/>
            <a:gd name="connsiteY27" fmla="*/ 4707646 h 7007051"/>
            <a:gd name="connsiteX28" fmla="*/ 3745746 w 4652506"/>
            <a:gd name="connsiteY28" fmla="*/ 4860605 h 7007051"/>
            <a:gd name="connsiteX29" fmla="*/ 3719012 w 4652506"/>
            <a:gd name="connsiteY29" fmla="*/ 5046272 h 7007051"/>
            <a:gd name="connsiteX30" fmla="*/ 4083088 w 4652506"/>
            <a:gd name="connsiteY30" fmla="*/ 5180238 h 7007051"/>
            <a:gd name="connsiteX31" fmla="*/ 4117263 w 4652506"/>
            <a:gd name="connsiteY31" fmla="*/ 5383001 h 7007051"/>
            <a:gd name="connsiteX32" fmla="*/ 4312130 w 4652506"/>
            <a:gd name="connsiteY32" fmla="*/ 5401041 h 7007051"/>
            <a:gd name="connsiteX33" fmla="*/ 4075446 w 4652506"/>
            <a:gd name="connsiteY33" fmla="*/ 5635130 h 7007051"/>
            <a:gd name="connsiteX34" fmla="*/ 4300210 w 4652506"/>
            <a:gd name="connsiteY34" fmla="*/ 5628701 h 7007051"/>
            <a:gd name="connsiteX35" fmla="*/ 4219776 w 4652506"/>
            <a:gd name="connsiteY35" fmla="*/ 5819509 h 7007051"/>
            <a:gd name="connsiteX36" fmla="*/ 4057601 w 4652506"/>
            <a:gd name="connsiteY36" fmla="*/ 5953301 h 7007051"/>
            <a:gd name="connsiteX37" fmla="*/ 3966490 w 4652506"/>
            <a:gd name="connsiteY37" fmla="*/ 6384095 h 7007051"/>
            <a:gd name="connsiteX38" fmla="*/ 4454205 w 4652506"/>
            <a:gd name="connsiteY38" fmla="*/ 7007051 h 7007051"/>
            <a:gd name="connsiteX39" fmla="*/ 12900 w 4652506"/>
            <a:gd name="connsiteY39" fmla="*/ 6992686 h 7007051"/>
            <a:gd name="connsiteX0" fmla="*/ 12900 w 4652506"/>
            <a:gd name="connsiteY0" fmla="*/ 6992686 h 7007051"/>
            <a:gd name="connsiteX1" fmla="*/ 12900 w 4652506"/>
            <a:gd name="connsiteY1" fmla="*/ 2611187 h 7007051"/>
            <a:gd name="connsiteX2" fmla="*/ 4000 w 4652506"/>
            <a:gd name="connsiteY2" fmla="*/ 1239764 h 7007051"/>
            <a:gd name="connsiteX3" fmla="*/ 4000 w 4652506"/>
            <a:gd name="connsiteY3" fmla="*/ 17389 h 7007051"/>
            <a:gd name="connsiteX4" fmla="*/ 1632181 w 4652506"/>
            <a:gd name="connsiteY4" fmla="*/ 0 h 7007051"/>
            <a:gd name="connsiteX5" fmla="*/ 1644235 w 4652506"/>
            <a:gd name="connsiteY5" fmla="*/ 654878 h 7007051"/>
            <a:gd name="connsiteX6" fmla="*/ 1721297 w 4652506"/>
            <a:gd name="connsiteY6" fmla="*/ 795713 h 7007051"/>
            <a:gd name="connsiteX7" fmla="*/ 1632323 w 4652506"/>
            <a:gd name="connsiteY7" fmla="*/ 960913 h 7007051"/>
            <a:gd name="connsiteX8" fmla="*/ 1555131 w 4652506"/>
            <a:gd name="connsiteY8" fmla="*/ 1525409 h 7007051"/>
            <a:gd name="connsiteX9" fmla="*/ 984682 w 4652506"/>
            <a:gd name="connsiteY9" fmla="*/ 2014444 h 7007051"/>
            <a:gd name="connsiteX10" fmla="*/ 1013726 w 4652506"/>
            <a:gd name="connsiteY10" fmla="*/ 2574019 h 7007051"/>
            <a:gd name="connsiteX11" fmla="*/ 1129359 w 4652506"/>
            <a:gd name="connsiteY11" fmla="*/ 2780694 h 7007051"/>
            <a:gd name="connsiteX12" fmla="*/ 1301467 w 4652506"/>
            <a:gd name="connsiteY12" fmla="*/ 2900708 h 7007051"/>
            <a:gd name="connsiteX13" fmla="*/ 1530867 w 4652506"/>
            <a:gd name="connsiteY13" fmla="*/ 2914589 h 7007051"/>
            <a:gd name="connsiteX14" fmla="*/ 1542869 w 4652506"/>
            <a:gd name="connsiteY14" fmla="*/ 3111210 h 7007051"/>
            <a:gd name="connsiteX15" fmla="*/ 1672382 w 4652506"/>
            <a:gd name="connsiteY15" fmla="*/ 3210908 h 7007051"/>
            <a:gd name="connsiteX16" fmla="*/ 1887487 w 4652506"/>
            <a:gd name="connsiteY16" fmla="*/ 3319108 h 7007051"/>
            <a:gd name="connsiteX17" fmla="*/ 2389156 w 4652506"/>
            <a:gd name="connsiteY17" fmla="*/ 3170381 h 7007051"/>
            <a:gd name="connsiteX18" fmla="*/ 2623377 w 4652506"/>
            <a:gd name="connsiteY18" fmla="*/ 3032883 h 7007051"/>
            <a:gd name="connsiteX19" fmla="*/ 2596033 w 4652506"/>
            <a:gd name="connsiteY19" fmla="*/ 3283177 h 7007051"/>
            <a:gd name="connsiteX20" fmla="*/ 2637154 w 4652506"/>
            <a:gd name="connsiteY20" fmla="*/ 3436080 h 7007051"/>
            <a:gd name="connsiteX21" fmla="*/ 2893037 w 4652506"/>
            <a:gd name="connsiteY21" fmla="*/ 3554559 h 7007051"/>
            <a:gd name="connsiteX22" fmla="*/ 3317352 w 4652506"/>
            <a:gd name="connsiteY22" fmla="*/ 3799685 h 7007051"/>
            <a:gd name="connsiteX23" fmla="*/ 3383911 w 4652506"/>
            <a:gd name="connsiteY23" fmla="*/ 4018854 h 7007051"/>
            <a:gd name="connsiteX24" fmla="*/ 3611651 w 4652506"/>
            <a:gd name="connsiteY24" fmla="*/ 4189085 h 7007051"/>
            <a:gd name="connsiteX25" fmla="*/ 3562243 w 4652506"/>
            <a:gd name="connsiteY25" fmla="*/ 4462626 h 7007051"/>
            <a:gd name="connsiteX26" fmla="*/ 3467805 w 4652506"/>
            <a:gd name="connsiteY26" fmla="*/ 4661583 h 7007051"/>
            <a:gd name="connsiteX27" fmla="*/ 3668060 w 4652506"/>
            <a:gd name="connsiteY27" fmla="*/ 4707646 h 7007051"/>
            <a:gd name="connsiteX28" fmla="*/ 3745746 w 4652506"/>
            <a:gd name="connsiteY28" fmla="*/ 4860605 h 7007051"/>
            <a:gd name="connsiteX29" fmla="*/ 3719012 w 4652506"/>
            <a:gd name="connsiteY29" fmla="*/ 5046272 h 7007051"/>
            <a:gd name="connsiteX30" fmla="*/ 4083088 w 4652506"/>
            <a:gd name="connsiteY30" fmla="*/ 5180238 h 7007051"/>
            <a:gd name="connsiteX31" fmla="*/ 4117263 w 4652506"/>
            <a:gd name="connsiteY31" fmla="*/ 5383001 h 7007051"/>
            <a:gd name="connsiteX32" fmla="*/ 4312130 w 4652506"/>
            <a:gd name="connsiteY32" fmla="*/ 5401041 h 7007051"/>
            <a:gd name="connsiteX33" fmla="*/ 4075446 w 4652506"/>
            <a:gd name="connsiteY33" fmla="*/ 5635130 h 7007051"/>
            <a:gd name="connsiteX34" fmla="*/ 4300210 w 4652506"/>
            <a:gd name="connsiteY34" fmla="*/ 5628701 h 7007051"/>
            <a:gd name="connsiteX35" fmla="*/ 4219776 w 4652506"/>
            <a:gd name="connsiteY35" fmla="*/ 5819509 h 7007051"/>
            <a:gd name="connsiteX36" fmla="*/ 4057601 w 4652506"/>
            <a:gd name="connsiteY36" fmla="*/ 5953301 h 7007051"/>
            <a:gd name="connsiteX37" fmla="*/ 3966490 w 4652506"/>
            <a:gd name="connsiteY37" fmla="*/ 6384095 h 7007051"/>
            <a:gd name="connsiteX38" fmla="*/ 4454205 w 4652506"/>
            <a:gd name="connsiteY38" fmla="*/ 7007051 h 7007051"/>
            <a:gd name="connsiteX39" fmla="*/ 12900 w 4652506"/>
            <a:gd name="connsiteY39" fmla="*/ 6992686 h 7007051"/>
            <a:gd name="connsiteX0" fmla="*/ 12900 w 4652506"/>
            <a:gd name="connsiteY0" fmla="*/ 6992686 h 7007051"/>
            <a:gd name="connsiteX1" fmla="*/ 12900 w 4652506"/>
            <a:gd name="connsiteY1" fmla="*/ 2611187 h 7007051"/>
            <a:gd name="connsiteX2" fmla="*/ 4000 w 4652506"/>
            <a:gd name="connsiteY2" fmla="*/ 1239764 h 7007051"/>
            <a:gd name="connsiteX3" fmla="*/ 4000 w 4652506"/>
            <a:gd name="connsiteY3" fmla="*/ 17389 h 7007051"/>
            <a:gd name="connsiteX4" fmla="*/ 1632181 w 4652506"/>
            <a:gd name="connsiteY4" fmla="*/ 0 h 7007051"/>
            <a:gd name="connsiteX5" fmla="*/ 1644235 w 4652506"/>
            <a:gd name="connsiteY5" fmla="*/ 654878 h 7007051"/>
            <a:gd name="connsiteX6" fmla="*/ 1721297 w 4652506"/>
            <a:gd name="connsiteY6" fmla="*/ 795713 h 7007051"/>
            <a:gd name="connsiteX7" fmla="*/ 1632323 w 4652506"/>
            <a:gd name="connsiteY7" fmla="*/ 960913 h 7007051"/>
            <a:gd name="connsiteX8" fmla="*/ 1555131 w 4652506"/>
            <a:gd name="connsiteY8" fmla="*/ 1525409 h 7007051"/>
            <a:gd name="connsiteX9" fmla="*/ 984682 w 4652506"/>
            <a:gd name="connsiteY9" fmla="*/ 2014444 h 7007051"/>
            <a:gd name="connsiteX10" fmla="*/ 1013726 w 4652506"/>
            <a:gd name="connsiteY10" fmla="*/ 2574019 h 7007051"/>
            <a:gd name="connsiteX11" fmla="*/ 1129359 w 4652506"/>
            <a:gd name="connsiteY11" fmla="*/ 2780694 h 7007051"/>
            <a:gd name="connsiteX12" fmla="*/ 1301467 w 4652506"/>
            <a:gd name="connsiteY12" fmla="*/ 2900708 h 7007051"/>
            <a:gd name="connsiteX13" fmla="*/ 1530867 w 4652506"/>
            <a:gd name="connsiteY13" fmla="*/ 2914589 h 7007051"/>
            <a:gd name="connsiteX14" fmla="*/ 1542869 w 4652506"/>
            <a:gd name="connsiteY14" fmla="*/ 3111210 h 7007051"/>
            <a:gd name="connsiteX15" fmla="*/ 1672382 w 4652506"/>
            <a:gd name="connsiteY15" fmla="*/ 3210908 h 7007051"/>
            <a:gd name="connsiteX16" fmla="*/ 1887487 w 4652506"/>
            <a:gd name="connsiteY16" fmla="*/ 3319108 h 7007051"/>
            <a:gd name="connsiteX17" fmla="*/ 2151863 w 4652506"/>
            <a:gd name="connsiteY17" fmla="*/ 3288931 h 7007051"/>
            <a:gd name="connsiteX18" fmla="*/ 2389156 w 4652506"/>
            <a:gd name="connsiteY18" fmla="*/ 3170381 h 7007051"/>
            <a:gd name="connsiteX19" fmla="*/ 2623377 w 4652506"/>
            <a:gd name="connsiteY19" fmla="*/ 3032883 h 7007051"/>
            <a:gd name="connsiteX20" fmla="*/ 2596033 w 4652506"/>
            <a:gd name="connsiteY20" fmla="*/ 3283177 h 7007051"/>
            <a:gd name="connsiteX21" fmla="*/ 2637154 w 4652506"/>
            <a:gd name="connsiteY21" fmla="*/ 3436080 h 7007051"/>
            <a:gd name="connsiteX22" fmla="*/ 2893037 w 4652506"/>
            <a:gd name="connsiteY22" fmla="*/ 3554559 h 7007051"/>
            <a:gd name="connsiteX23" fmla="*/ 3317352 w 4652506"/>
            <a:gd name="connsiteY23" fmla="*/ 3799685 h 7007051"/>
            <a:gd name="connsiteX24" fmla="*/ 3383911 w 4652506"/>
            <a:gd name="connsiteY24" fmla="*/ 4018854 h 7007051"/>
            <a:gd name="connsiteX25" fmla="*/ 3611651 w 4652506"/>
            <a:gd name="connsiteY25" fmla="*/ 4189085 h 7007051"/>
            <a:gd name="connsiteX26" fmla="*/ 3562243 w 4652506"/>
            <a:gd name="connsiteY26" fmla="*/ 4462626 h 7007051"/>
            <a:gd name="connsiteX27" fmla="*/ 3467805 w 4652506"/>
            <a:gd name="connsiteY27" fmla="*/ 4661583 h 7007051"/>
            <a:gd name="connsiteX28" fmla="*/ 3668060 w 4652506"/>
            <a:gd name="connsiteY28" fmla="*/ 4707646 h 7007051"/>
            <a:gd name="connsiteX29" fmla="*/ 3745746 w 4652506"/>
            <a:gd name="connsiteY29" fmla="*/ 4860605 h 7007051"/>
            <a:gd name="connsiteX30" fmla="*/ 3719012 w 4652506"/>
            <a:gd name="connsiteY30" fmla="*/ 5046272 h 7007051"/>
            <a:gd name="connsiteX31" fmla="*/ 4083088 w 4652506"/>
            <a:gd name="connsiteY31" fmla="*/ 5180238 h 7007051"/>
            <a:gd name="connsiteX32" fmla="*/ 4117263 w 4652506"/>
            <a:gd name="connsiteY32" fmla="*/ 5383001 h 7007051"/>
            <a:gd name="connsiteX33" fmla="*/ 4312130 w 4652506"/>
            <a:gd name="connsiteY33" fmla="*/ 5401041 h 7007051"/>
            <a:gd name="connsiteX34" fmla="*/ 4075446 w 4652506"/>
            <a:gd name="connsiteY34" fmla="*/ 5635130 h 7007051"/>
            <a:gd name="connsiteX35" fmla="*/ 4300210 w 4652506"/>
            <a:gd name="connsiteY35" fmla="*/ 5628701 h 7007051"/>
            <a:gd name="connsiteX36" fmla="*/ 4219776 w 4652506"/>
            <a:gd name="connsiteY36" fmla="*/ 5819509 h 7007051"/>
            <a:gd name="connsiteX37" fmla="*/ 4057601 w 4652506"/>
            <a:gd name="connsiteY37" fmla="*/ 5953301 h 7007051"/>
            <a:gd name="connsiteX38" fmla="*/ 3966490 w 4652506"/>
            <a:gd name="connsiteY38" fmla="*/ 6384095 h 7007051"/>
            <a:gd name="connsiteX39" fmla="*/ 4454205 w 4652506"/>
            <a:gd name="connsiteY39" fmla="*/ 7007051 h 7007051"/>
            <a:gd name="connsiteX40" fmla="*/ 12900 w 4652506"/>
            <a:gd name="connsiteY40" fmla="*/ 6992686 h 7007051"/>
            <a:gd name="connsiteX0" fmla="*/ 12900 w 4652506"/>
            <a:gd name="connsiteY0" fmla="*/ 6992686 h 7007051"/>
            <a:gd name="connsiteX1" fmla="*/ 12900 w 4652506"/>
            <a:gd name="connsiteY1" fmla="*/ 2611187 h 7007051"/>
            <a:gd name="connsiteX2" fmla="*/ 4000 w 4652506"/>
            <a:gd name="connsiteY2" fmla="*/ 1239764 h 7007051"/>
            <a:gd name="connsiteX3" fmla="*/ 4000 w 4652506"/>
            <a:gd name="connsiteY3" fmla="*/ 17389 h 7007051"/>
            <a:gd name="connsiteX4" fmla="*/ 1632181 w 4652506"/>
            <a:gd name="connsiteY4" fmla="*/ 0 h 7007051"/>
            <a:gd name="connsiteX5" fmla="*/ 1644235 w 4652506"/>
            <a:gd name="connsiteY5" fmla="*/ 654878 h 7007051"/>
            <a:gd name="connsiteX6" fmla="*/ 1721297 w 4652506"/>
            <a:gd name="connsiteY6" fmla="*/ 795713 h 7007051"/>
            <a:gd name="connsiteX7" fmla="*/ 1632323 w 4652506"/>
            <a:gd name="connsiteY7" fmla="*/ 960913 h 7007051"/>
            <a:gd name="connsiteX8" fmla="*/ 1555131 w 4652506"/>
            <a:gd name="connsiteY8" fmla="*/ 1525409 h 7007051"/>
            <a:gd name="connsiteX9" fmla="*/ 984682 w 4652506"/>
            <a:gd name="connsiteY9" fmla="*/ 2014444 h 7007051"/>
            <a:gd name="connsiteX10" fmla="*/ 1013726 w 4652506"/>
            <a:gd name="connsiteY10" fmla="*/ 2574019 h 7007051"/>
            <a:gd name="connsiteX11" fmla="*/ 1129359 w 4652506"/>
            <a:gd name="connsiteY11" fmla="*/ 2780694 h 7007051"/>
            <a:gd name="connsiteX12" fmla="*/ 1301467 w 4652506"/>
            <a:gd name="connsiteY12" fmla="*/ 2900708 h 7007051"/>
            <a:gd name="connsiteX13" fmla="*/ 1530867 w 4652506"/>
            <a:gd name="connsiteY13" fmla="*/ 2914589 h 7007051"/>
            <a:gd name="connsiteX14" fmla="*/ 1542869 w 4652506"/>
            <a:gd name="connsiteY14" fmla="*/ 3111210 h 7007051"/>
            <a:gd name="connsiteX15" fmla="*/ 1672382 w 4652506"/>
            <a:gd name="connsiteY15" fmla="*/ 3210908 h 7007051"/>
            <a:gd name="connsiteX16" fmla="*/ 1887487 w 4652506"/>
            <a:gd name="connsiteY16" fmla="*/ 3319108 h 7007051"/>
            <a:gd name="connsiteX17" fmla="*/ 2151863 w 4652506"/>
            <a:gd name="connsiteY17" fmla="*/ 3205818 h 7007051"/>
            <a:gd name="connsiteX18" fmla="*/ 2389156 w 4652506"/>
            <a:gd name="connsiteY18" fmla="*/ 3170381 h 7007051"/>
            <a:gd name="connsiteX19" fmla="*/ 2623377 w 4652506"/>
            <a:gd name="connsiteY19" fmla="*/ 3032883 h 7007051"/>
            <a:gd name="connsiteX20" fmla="*/ 2596033 w 4652506"/>
            <a:gd name="connsiteY20" fmla="*/ 3283177 h 7007051"/>
            <a:gd name="connsiteX21" fmla="*/ 2637154 w 4652506"/>
            <a:gd name="connsiteY21" fmla="*/ 3436080 h 7007051"/>
            <a:gd name="connsiteX22" fmla="*/ 2893037 w 4652506"/>
            <a:gd name="connsiteY22" fmla="*/ 3554559 h 7007051"/>
            <a:gd name="connsiteX23" fmla="*/ 3317352 w 4652506"/>
            <a:gd name="connsiteY23" fmla="*/ 3799685 h 7007051"/>
            <a:gd name="connsiteX24" fmla="*/ 3383911 w 4652506"/>
            <a:gd name="connsiteY24" fmla="*/ 4018854 h 7007051"/>
            <a:gd name="connsiteX25" fmla="*/ 3611651 w 4652506"/>
            <a:gd name="connsiteY25" fmla="*/ 4189085 h 7007051"/>
            <a:gd name="connsiteX26" fmla="*/ 3562243 w 4652506"/>
            <a:gd name="connsiteY26" fmla="*/ 4462626 h 7007051"/>
            <a:gd name="connsiteX27" fmla="*/ 3467805 w 4652506"/>
            <a:gd name="connsiteY27" fmla="*/ 4661583 h 7007051"/>
            <a:gd name="connsiteX28" fmla="*/ 3668060 w 4652506"/>
            <a:gd name="connsiteY28" fmla="*/ 4707646 h 7007051"/>
            <a:gd name="connsiteX29" fmla="*/ 3745746 w 4652506"/>
            <a:gd name="connsiteY29" fmla="*/ 4860605 h 7007051"/>
            <a:gd name="connsiteX30" fmla="*/ 3719012 w 4652506"/>
            <a:gd name="connsiteY30" fmla="*/ 5046272 h 7007051"/>
            <a:gd name="connsiteX31" fmla="*/ 4083088 w 4652506"/>
            <a:gd name="connsiteY31" fmla="*/ 5180238 h 7007051"/>
            <a:gd name="connsiteX32" fmla="*/ 4117263 w 4652506"/>
            <a:gd name="connsiteY32" fmla="*/ 5383001 h 7007051"/>
            <a:gd name="connsiteX33" fmla="*/ 4312130 w 4652506"/>
            <a:gd name="connsiteY33" fmla="*/ 5401041 h 7007051"/>
            <a:gd name="connsiteX34" fmla="*/ 4075446 w 4652506"/>
            <a:gd name="connsiteY34" fmla="*/ 5635130 h 7007051"/>
            <a:gd name="connsiteX35" fmla="*/ 4300210 w 4652506"/>
            <a:gd name="connsiteY35" fmla="*/ 5628701 h 7007051"/>
            <a:gd name="connsiteX36" fmla="*/ 4219776 w 4652506"/>
            <a:gd name="connsiteY36" fmla="*/ 5819509 h 7007051"/>
            <a:gd name="connsiteX37" fmla="*/ 4057601 w 4652506"/>
            <a:gd name="connsiteY37" fmla="*/ 5953301 h 7007051"/>
            <a:gd name="connsiteX38" fmla="*/ 3966490 w 4652506"/>
            <a:gd name="connsiteY38" fmla="*/ 6384095 h 7007051"/>
            <a:gd name="connsiteX39" fmla="*/ 4454205 w 4652506"/>
            <a:gd name="connsiteY39" fmla="*/ 7007051 h 7007051"/>
            <a:gd name="connsiteX40" fmla="*/ 12900 w 4652506"/>
            <a:gd name="connsiteY40" fmla="*/ 6992686 h 7007051"/>
            <a:gd name="connsiteX0" fmla="*/ 12900 w 4652506"/>
            <a:gd name="connsiteY0" fmla="*/ 6992686 h 7007051"/>
            <a:gd name="connsiteX1" fmla="*/ 12900 w 4652506"/>
            <a:gd name="connsiteY1" fmla="*/ 2611187 h 7007051"/>
            <a:gd name="connsiteX2" fmla="*/ 4000 w 4652506"/>
            <a:gd name="connsiteY2" fmla="*/ 1239764 h 7007051"/>
            <a:gd name="connsiteX3" fmla="*/ 4000 w 4652506"/>
            <a:gd name="connsiteY3" fmla="*/ 17389 h 7007051"/>
            <a:gd name="connsiteX4" fmla="*/ 1632181 w 4652506"/>
            <a:gd name="connsiteY4" fmla="*/ 0 h 7007051"/>
            <a:gd name="connsiteX5" fmla="*/ 1644235 w 4652506"/>
            <a:gd name="connsiteY5" fmla="*/ 654878 h 7007051"/>
            <a:gd name="connsiteX6" fmla="*/ 1721297 w 4652506"/>
            <a:gd name="connsiteY6" fmla="*/ 795713 h 7007051"/>
            <a:gd name="connsiteX7" fmla="*/ 1632323 w 4652506"/>
            <a:gd name="connsiteY7" fmla="*/ 960913 h 7007051"/>
            <a:gd name="connsiteX8" fmla="*/ 1555131 w 4652506"/>
            <a:gd name="connsiteY8" fmla="*/ 1525409 h 7007051"/>
            <a:gd name="connsiteX9" fmla="*/ 984682 w 4652506"/>
            <a:gd name="connsiteY9" fmla="*/ 2014444 h 7007051"/>
            <a:gd name="connsiteX10" fmla="*/ 1013726 w 4652506"/>
            <a:gd name="connsiteY10" fmla="*/ 2574019 h 7007051"/>
            <a:gd name="connsiteX11" fmla="*/ 1129359 w 4652506"/>
            <a:gd name="connsiteY11" fmla="*/ 2780694 h 7007051"/>
            <a:gd name="connsiteX12" fmla="*/ 1301467 w 4652506"/>
            <a:gd name="connsiteY12" fmla="*/ 2900708 h 7007051"/>
            <a:gd name="connsiteX13" fmla="*/ 1530867 w 4652506"/>
            <a:gd name="connsiteY13" fmla="*/ 2914589 h 7007051"/>
            <a:gd name="connsiteX14" fmla="*/ 1542869 w 4652506"/>
            <a:gd name="connsiteY14" fmla="*/ 3111210 h 7007051"/>
            <a:gd name="connsiteX15" fmla="*/ 1672382 w 4652506"/>
            <a:gd name="connsiteY15" fmla="*/ 3210908 h 7007051"/>
            <a:gd name="connsiteX16" fmla="*/ 1887488 w 4652506"/>
            <a:gd name="connsiteY16" fmla="*/ 3247868 h 7007051"/>
            <a:gd name="connsiteX17" fmla="*/ 2151863 w 4652506"/>
            <a:gd name="connsiteY17" fmla="*/ 3205818 h 7007051"/>
            <a:gd name="connsiteX18" fmla="*/ 2389156 w 4652506"/>
            <a:gd name="connsiteY18" fmla="*/ 3170381 h 7007051"/>
            <a:gd name="connsiteX19" fmla="*/ 2623377 w 4652506"/>
            <a:gd name="connsiteY19" fmla="*/ 3032883 h 7007051"/>
            <a:gd name="connsiteX20" fmla="*/ 2596033 w 4652506"/>
            <a:gd name="connsiteY20" fmla="*/ 3283177 h 7007051"/>
            <a:gd name="connsiteX21" fmla="*/ 2637154 w 4652506"/>
            <a:gd name="connsiteY21" fmla="*/ 3436080 h 7007051"/>
            <a:gd name="connsiteX22" fmla="*/ 2893037 w 4652506"/>
            <a:gd name="connsiteY22" fmla="*/ 3554559 h 7007051"/>
            <a:gd name="connsiteX23" fmla="*/ 3317352 w 4652506"/>
            <a:gd name="connsiteY23" fmla="*/ 3799685 h 7007051"/>
            <a:gd name="connsiteX24" fmla="*/ 3383911 w 4652506"/>
            <a:gd name="connsiteY24" fmla="*/ 4018854 h 7007051"/>
            <a:gd name="connsiteX25" fmla="*/ 3611651 w 4652506"/>
            <a:gd name="connsiteY25" fmla="*/ 4189085 h 7007051"/>
            <a:gd name="connsiteX26" fmla="*/ 3562243 w 4652506"/>
            <a:gd name="connsiteY26" fmla="*/ 4462626 h 7007051"/>
            <a:gd name="connsiteX27" fmla="*/ 3467805 w 4652506"/>
            <a:gd name="connsiteY27" fmla="*/ 4661583 h 7007051"/>
            <a:gd name="connsiteX28" fmla="*/ 3668060 w 4652506"/>
            <a:gd name="connsiteY28" fmla="*/ 4707646 h 7007051"/>
            <a:gd name="connsiteX29" fmla="*/ 3745746 w 4652506"/>
            <a:gd name="connsiteY29" fmla="*/ 4860605 h 7007051"/>
            <a:gd name="connsiteX30" fmla="*/ 3719012 w 4652506"/>
            <a:gd name="connsiteY30" fmla="*/ 5046272 h 7007051"/>
            <a:gd name="connsiteX31" fmla="*/ 4083088 w 4652506"/>
            <a:gd name="connsiteY31" fmla="*/ 5180238 h 7007051"/>
            <a:gd name="connsiteX32" fmla="*/ 4117263 w 4652506"/>
            <a:gd name="connsiteY32" fmla="*/ 5383001 h 7007051"/>
            <a:gd name="connsiteX33" fmla="*/ 4312130 w 4652506"/>
            <a:gd name="connsiteY33" fmla="*/ 5401041 h 7007051"/>
            <a:gd name="connsiteX34" fmla="*/ 4075446 w 4652506"/>
            <a:gd name="connsiteY34" fmla="*/ 5635130 h 7007051"/>
            <a:gd name="connsiteX35" fmla="*/ 4300210 w 4652506"/>
            <a:gd name="connsiteY35" fmla="*/ 5628701 h 7007051"/>
            <a:gd name="connsiteX36" fmla="*/ 4219776 w 4652506"/>
            <a:gd name="connsiteY36" fmla="*/ 5819509 h 7007051"/>
            <a:gd name="connsiteX37" fmla="*/ 4057601 w 4652506"/>
            <a:gd name="connsiteY37" fmla="*/ 5953301 h 7007051"/>
            <a:gd name="connsiteX38" fmla="*/ 3966490 w 4652506"/>
            <a:gd name="connsiteY38" fmla="*/ 6384095 h 7007051"/>
            <a:gd name="connsiteX39" fmla="*/ 4454205 w 4652506"/>
            <a:gd name="connsiteY39" fmla="*/ 7007051 h 7007051"/>
            <a:gd name="connsiteX40" fmla="*/ 12900 w 4652506"/>
            <a:gd name="connsiteY40" fmla="*/ 6992686 h 7007051"/>
            <a:gd name="connsiteX0" fmla="*/ 12900 w 4652506"/>
            <a:gd name="connsiteY0" fmla="*/ 6992686 h 7007051"/>
            <a:gd name="connsiteX1" fmla="*/ 12900 w 4652506"/>
            <a:gd name="connsiteY1" fmla="*/ 2611187 h 7007051"/>
            <a:gd name="connsiteX2" fmla="*/ 4000 w 4652506"/>
            <a:gd name="connsiteY2" fmla="*/ 1239764 h 7007051"/>
            <a:gd name="connsiteX3" fmla="*/ 4000 w 4652506"/>
            <a:gd name="connsiteY3" fmla="*/ 17389 h 7007051"/>
            <a:gd name="connsiteX4" fmla="*/ 1632181 w 4652506"/>
            <a:gd name="connsiteY4" fmla="*/ 0 h 7007051"/>
            <a:gd name="connsiteX5" fmla="*/ 1644235 w 4652506"/>
            <a:gd name="connsiteY5" fmla="*/ 654878 h 7007051"/>
            <a:gd name="connsiteX6" fmla="*/ 1721297 w 4652506"/>
            <a:gd name="connsiteY6" fmla="*/ 795713 h 7007051"/>
            <a:gd name="connsiteX7" fmla="*/ 1632323 w 4652506"/>
            <a:gd name="connsiteY7" fmla="*/ 960913 h 7007051"/>
            <a:gd name="connsiteX8" fmla="*/ 1555131 w 4652506"/>
            <a:gd name="connsiteY8" fmla="*/ 1525409 h 7007051"/>
            <a:gd name="connsiteX9" fmla="*/ 984682 w 4652506"/>
            <a:gd name="connsiteY9" fmla="*/ 2014444 h 7007051"/>
            <a:gd name="connsiteX10" fmla="*/ 1013726 w 4652506"/>
            <a:gd name="connsiteY10" fmla="*/ 2574019 h 7007051"/>
            <a:gd name="connsiteX11" fmla="*/ 1129359 w 4652506"/>
            <a:gd name="connsiteY11" fmla="*/ 2780694 h 7007051"/>
            <a:gd name="connsiteX12" fmla="*/ 1301467 w 4652506"/>
            <a:gd name="connsiteY12" fmla="*/ 2900708 h 7007051"/>
            <a:gd name="connsiteX13" fmla="*/ 1530867 w 4652506"/>
            <a:gd name="connsiteY13" fmla="*/ 2914589 h 7007051"/>
            <a:gd name="connsiteX14" fmla="*/ 1542869 w 4652506"/>
            <a:gd name="connsiteY14" fmla="*/ 3111210 h 7007051"/>
            <a:gd name="connsiteX15" fmla="*/ 1672382 w 4652506"/>
            <a:gd name="connsiteY15" fmla="*/ 3210908 h 7007051"/>
            <a:gd name="connsiteX16" fmla="*/ 1887488 w 4652506"/>
            <a:gd name="connsiteY16" fmla="*/ 3247868 h 7007051"/>
            <a:gd name="connsiteX17" fmla="*/ 2151863 w 4652506"/>
            <a:gd name="connsiteY17" fmla="*/ 3205818 h 7007051"/>
            <a:gd name="connsiteX18" fmla="*/ 2389156 w 4652506"/>
            <a:gd name="connsiteY18" fmla="*/ 3170381 h 7007051"/>
            <a:gd name="connsiteX19" fmla="*/ 2689147 w 4652506"/>
            <a:gd name="connsiteY19" fmla="*/ 3127627 h 7007051"/>
            <a:gd name="connsiteX20" fmla="*/ 2596033 w 4652506"/>
            <a:gd name="connsiteY20" fmla="*/ 3283177 h 7007051"/>
            <a:gd name="connsiteX21" fmla="*/ 2637154 w 4652506"/>
            <a:gd name="connsiteY21" fmla="*/ 3436080 h 7007051"/>
            <a:gd name="connsiteX22" fmla="*/ 2893037 w 4652506"/>
            <a:gd name="connsiteY22" fmla="*/ 3554559 h 7007051"/>
            <a:gd name="connsiteX23" fmla="*/ 3317352 w 4652506"/>
            <a:gd name="connsiteY23" fmla="*/ 3799685 h 7007051"/>
            <a:gd name="connsiteX24" fmla="*/ 3383911 w 4652506"/>
            <a:gd name="connsiteY24" fmla="*/ 4018854 h 7007051"/>
            <a:gd name="connsiteX25" fmla="*/ 3611651 w 4652506"/>
            <a:gd name="connsiteY25" fmla="*/ 4189085 h 7007051"/>
            <a:gd name="connsiteX26" fmla="*/ 3562243 w 4652506"/>
            <a:gd name="connsiteY26" fmla="*/ 4462626 h 7007051"/>
            <a:gd name="connsiteX27" fmla="*/ 3467805 w 4652506"/>
            <a:gd name="connsiteY27" fmla="*/ 4661583 h 7007051"/>
            <a:gd name="connsiteX28" fmla="*/ 3668060 w 4652506"/>
            <a:gd name="connsiteY28" fmla="*/ 4707646 h 7007051"/>
            <a:gd name="connsiteX29" fmla="*/ 3745746 w 4652506"/>
            <a:gd name="connsiteY29" fmla="*/ 4860605 h 7007051"/>
            <a:gd name="connsiteX30" fmla="*/ 3719012 w 4652506"/>
            <a:gd name="connsiteY30" fmla="*/ 5046272 h 7007051"/>
            <a:gd name="connsiteX31" fmla="*/ 4083088 w 4652506"/>
            <a:gd name="connsiteY31" fmla="*/ 5180238 h 7007051"/>
            <a:gd name="connsiteX32" fmla="*/ 4117263 w 4652506"/>
            <a:gd name="connsiteY32" fmla="*/ 5383001 h 7007051"/>
            <a:gd name="connsiteX33" fmla="*/ 4312130 w 4652506"/>
            <a:gd name="connsiteY33" fmla="*/ 5401041 h 7007051"/>
            <a:gd name="connsiteX34" fmla="*/ 4075446 w 4652506"/>
            <a:gd name="connsiteY34" fmla="*/ 5635130 h 7007051"/>
            <a:gd name="connsiteX35" fmla="*/ 4300210 w 4652506"/>
            <a:gd name="connsiteY35" fmla="*/ 5628701 h 7007051"/>
            <a:gd name="connsiteX36" fmla="*/ 4219776 w 4652506"/>
            <a:gd name="connsiteY36" fmla="*/ 5819509 h 7007051"/>
            <a:gd name="connsiteX37" fmla="*/ 4057601 w 4652506"/>
            <a:gd name="connsiteY37" fmla="*/ 5953301 h 7007051"/>
            <a:gd name="connsiteX38" fmla="*/ 3966490 w 4652506"/>
            <a:gd name="connsiteY38" fmla="*/ 6384095 h 7007051"/>
            <a:gd name="connsiteX39" fmla="*/ 4454205 w 4652506"/>
            <a:gd name="connsiteY39" fmla="*/ 7007051 h 7007051"/>
            <a:gd name="connsiteX40" fmla="*/ 12900 w 4652506"/>
            <a:gd name="connsiteY40" fmla="*/ 6992686 h 7007051"/>
            <a:gd name="connsiteX0" fmla="*/ 12900 w 4652506"/>
            <a:gd name="connsiteY0" fmla="*/ 6984377 h 6998742"/>
            <a:gd name="connsiteX1" fmla="*/ 12900 w 4652506"/>
            <a:gd name="connsiteY1" fmla="*/ 2602878 h 6998742"/>
            <a:gd name="connsiteX2" fmla="*/ 4000 w 4652506"/>
            <a:gd name="connsiteY2" fmla="*/ 1231455 h 6998742"/>
            <a:gd name="connsiteX3" fmla="*/ 4000 w 4652506"/>
            <a:gd name="connsiteY3" fmla="*/ 9080 h 6998742"/>
            <a:gd name="connsiteX4" fmla="*/ 1717543 w 4652506"/>
            <a:gd name="connsiteY4" fmla="*/ 0 h 6998742"/>
            <a:gd name="connsiteX5" fmla="*/ 1644235 w 4652506"/>
            <a:gd name="connsiteY5" fmla="*/ 646569 h 6998742"/>
            <a:gd name="connsiteX6" fmla="*/ 1721297 w 4652506"/>
            <a:gd name="connsiteY6" fmla="*/ 787404 h 6998742"/>
            <a:gd name="connsiteX7" fmla="*/ 1632323 w 4652506"/>
            <a:gd name="connsiteY7" fmla="*/ 952604 h 6998742"/>
            <a:gd name="connsiteX8" fmla="*/ 1555131 w 4652506"/>
            <a:gd name="connsiteY8" fmla="*/ 1517100 h 6998742"/>
            <a:gd name="connsiteX9" fmla="*/ 984682 w 4652506"/>
            <a:gd name="connsiteY9" fmla="*/ 2006135 h 6998742"/>
            <a:gd name="connsiteX10" fmla="*/ 1013726 w 4652506"/>
            <a:gd name="connsiteY10" fmla="*/ 2565710 h 6998742"/>
            <a:gd name="connsiteX11" fmla="*/ 1129359 w 4652506"/>
            <a:gd name="connsiteY11" fmla="*/ 2772385 h 6998742"/>
            <a:gd name="connsiteX12" fmla="*/ 1301467 w 4652506"/>
            <a:gd name="connsiteY12" fmla="*/ 2892399 h 6998742"/>
            <a:gd name="connsiteX13" fmla="*/ 1530867 w 4652506"/>
            <a:gd name="connsiteY13" fmla="*/ 2906280 h 6998742"/>
            <a:gd name="connsiteX14" fmla="*/ 1542869 w 4652506"/>
            <a:gd name="connsiteY14" fmla="*/ 3102901 h 6998742"/>
            <a:gd name="connsiteX15" fmla="*/ 1672382 w 4652506"/>
            <a:gd name="connsiteY15" fmla="*/ 3202599 h 6998742"/>
            <a:gd name="connsiteX16" fmla="*/ 1887488 w 4652506"/>
            <a:gd name="connsiteY16" fmla="*/ 3239559 h 6998742"/>
            <a:gd name="connsiteX17" fmla="*/ 2151863 w 4652506"/>
            <a:gd name="connsiteY17" fmla="*/ 3197509 h 6998742"/>
            <a:gd name="connsiteX18" fmla="*/ 2389156 w 4652506"/>
            <a:gd name="connsiteY18" fmla="*/ 3162072 h 6998742"/>
            <a:gd name="connsiteX19" fmla="*/ 2689147 w 4652506"/>
            <a:gd name="connsiteY19" fmla="*/ 3119318 h 6998742"/>
            <a:gd name="connsiteX20" fmla="*/ 2596033 w 4652506"/>
            <a:gd name="connsiteY20" fmla="*/ 3274868 h 6998742"/>
            <a:gd name="connsiteX21" fmla="*/ 2637154 w 4652506"/>
            <a:gd name="connsiteY21" fmla="*/ 3427771 h 6998742"/>
            <a:gd name="connsiteX22" fmla="*/ 2893037 w 4652506"/>
            <a:gd name="connsiteY22" fmla="*/ 3546250 h 6998742"/>
            <a:gd name="connsiteX23" fmla="*/ 3317352 w 4652506"/>
            <a:gd name="connsiteY23" fmla="*/ 3791376 h 6998742"/>
            <a:gd name="connsiteX24" fmla="*/ 3383911 w 4652506"/>
            <a:gd name="connsiteY24" fmla="*/ 4010545 h 6998742"/>
            <a:gd name="connsiteX25" fmla="*/ 3611651 w 4652506"/>
            <a:gd name="connsiteY25" fmla="*/ 4180776 h 6998742"/>
            <a:gd name="connsiteX26" fmla="*/ 3562243 w 4652506"/>
            <a:gd name="connsiteY26" fmla="*/ 4454317 h 6998742"/>
            <a:gd name="connsiteX27" fmla="*/ 3467805 w 4652506"/>
            <a:gd name="connsiteY27" fmla="*/ 4653274 h 6998742"/>
            <a:gd name="connsiteX28" fmla="*/ 3668060 w 4652506"/>
            <a:gd name="connsiteY28" fmla="*/ 4699337 h 6998742"/>
            <a:gd name="connsiteX29" fmla="*/ 3745746 w 4652506"/>
            <a:gd name="connsiteY29" fmla="*/ 4852296 h 6998742"/>
            <a:gd name="connsiteX30" fmla="*/ 3719012 w 4652506"/>
            <a:gd name="connsiteY30" fmla="*/ 5037963 h 6998742"/>
            <a:gd name="connsiteX31" fmla="*/ 4083088 w 4652506"/>
            <a:gd name="connsiteY31" fmla="*/ 5171929 h 6998742"/>
            <a:gd name="connsiteX32" fmla="*/ 4117263 w 4652506"/>
            <a:gd name="connsiteY32" fmla="*/ 5374692 h 6998742"/>
            <a:gd name="connsiteX33" fmla="*/ 4312130 w 4652506"/>
            <a:gd name="connsiteY33" fmla="*/ 5392732 h 6998742"/>
            <a:gd name="connsiteX34" fmla="*/ 4075446 w 4652506"/>
            <a:gd name="connsiteY34" fmla="*/ 5626821 h 6998742"/>
            <a:gd name="connsiteX35" fmla="*/ 4300210 w 4652506"/>
            <a:gd name="connsiteY35" fmla="*/ 5620392 h 6998742"/>
            <a:gd name="connsiteX36" fmla="*/ 4219776 w 4652506"/>
            <a:gd name="connsiteY36" fmla="*/ 5811200 h 6998742"/>
            <a:gd name="connsiteX37" fmla="*/ 4057601 w 4652506"/>
            <a:gd name="connsiteY37" fmla="*/ 5944992 h 6998742"/>
            <a:gd name="connsiteX38" fmla="*/ 3966490 w 4652506"/>
            <a:gd name="connsiteY38" fmla="*/ 6375786 h 6998742"/>
            <a:gd name="connsiteX39" fmla="*/ 4454205 w 4652506"/>
            <a:gd name="connsiteY39" fmla="*/ 6998742 h 6998742"/>
            <a:gd name="connsiteX40" fmla="*/ 12900 w 4652506"/>
            <a:gd name="connsiteY40" fmla="*/ 6984377 h 6998742"/>
            <a:gd name="connsiteX0" fmla="*/ 12900 w 4652506"/>
            <a:gd name="connsiteY0" fmla="*/ 6984377 h 6998742"/>
            <a:gd name="connsiteX1" fmla="*/ 12900 w 4652506"/>
            <a:gd name="connsiteY1" fmla="*/ 2602878 h 6998742"/>
            <a:gd name="connsiteX2" fmla="*/ 4000 w 4652506"/>
            <a:gd name="connsiteY2" fmla="*/ 1231455 h 6998742"/>
            <a:gd name="connsiteX3" fmla="*/ 4000 w 4652506"/>
            <a:gd name="connsiteY3" fmla="*/ 9080 h 6998742"/>
            <a:gd name="connsiteX4" fmla="*/ 1717543 w 4652506"/>
            <a:gd name="connsiteY4" fmla="*/ 0 h 6998742"/>
            <a:gd name="connsiteX5" fmla="*/ 1701143 w 4652506"/>
            <a:gd name="connsiteY5" fmla="*/ 646569 h 6998742"/>
            <a:gd name="connsiteX6" fmla="*/ 1721297 w 4652506"/>
            <a:gd name="connsiteY6" fmla="*/ 787404 h 6998742"/>
            <a:gd name="connsiteX7" fmla="*/ 1632323 w 4652506"/>
            <a:gd name="connsiteY7" fmla="*/ 952604 h 6998742"/>
            <a:gd name="connsiteX8" fmla="*/ 1555131 w 4652506"/>
            <a:gd name="connsiteY8" fmla="*/ 1517100 h 6998742"/>
            <a:gd name="connsiteX9" fmla="*/ 984682 w 4652506"/>
            <a:gd name="connsiteY9" fmla="*/ 2006135 h 6998742"/>
            <a:gd name="connsiteX10" fmla="*/ 1013726 w 4652506"/>
            <a:gd name="connsiteY10" fmla="*/ 2565710 h 6998742"/>
            <a:gd name="connsiteX11" fmla="*/ 1129359 w 4652506"/>
            <a:gd name="connsiteY11" fmla="*/ 2772385 h 6998742"/>
            <a:gd name="connsiteX12" fmla="*/ 1301467 w 4652506"/>
            <a:gd name="connsiteY12" fmla="*/ 2892399 h 6998742"/>
            <a:gd name="connsiteX13" fmla="*/ 1530867 w 4652506"/>
            <a:gd name="connsiteY13" fmla="*/ 2906280 h 6998742"/>
            <a:gd name="connsiteX14" fmla="*/ 1542869 w 4652506"/>
            <a:gd name="connsiteY14" fmla="*/ 3102901 h 6998742"/>
            <a:gd name="connsiteX15" fmla="*/ 1672382 w 4652506"/>
            <a:gd name="connsiteY15" fmla="*/ 3202599 h 6998742"/>
            <a:gd name="connsiteX16" fmla="*/ 1887488 w 4652506"/>
            <a:gd name="connsiteY16" fmla="*/ 3239559 h 6998742"/>
            <a:gd name="connsiteX17" fmla="*/ 2151863 w 4652506"/>
            <a:gd name="connsiteY17" fmla="*/ 3197509 h 6998742"/>
            <a:gd name="connsiteX18" fmla="*/ 2389156 w 4652506"/>
            <a:gd name="connsiteY18" fmla="*/ 3162072 h 6998742"/>
            <a:gd name="connsiteX19" fmla="*/ 2689147 w 4652506"/>
            <a:gd name="connsiteY19" fmla="*/ 3119318 h 6998742"/>
            <a:gd name="connsiteX20" fmla="*/ 2596033 w 4652506"/>
            <a:gd name="connsiteY20" fmla="*/ 3274868 h 6998742"/>
            <a:gd name="connsiteX21" fmla="*/ 2637154 w 4652506"/>
            <a:gd name="connsiteY21" fmla="*/ 3427771 h 6998742"/>
            <a:gd name="connsiteX22" fmla="*/ 2893037 w 4652506"/>
            <a:gd name="connsiteY22" fmla="*/ 3546250 h 6998742"/>
            <a:gd name="connsiteX23" fmla="*/ 3317352 w 4652506"/>
            <a:gd name="connsiteY23" fmla="*/ 3791376 h 6998742"/>
            <a:gd name="connsiteX24" fmla="*/ 3383911 w 4652506"/>
            <a:gd name="connsiteY24" fmla="*/ 4010545 h 6998742"/>
            <a:gd name="connsiteX25" fmla="*/ 3611651 w 4652506"/>
            <a:gd name="connsiteY25" fmla="*/ 4180776 h 6998742"/>
            <a:gd name="connsiteX26" fmla="*/ 3562243 w 4652506"/>
            <a:gd name="connsiteY26" fmla="*/ 4454317 h 6998742"/>
            <a:gd name="connsiteX27" fmla="*/ 3467805 w 4652506"/>
            <a:gd name="connsiteY27" fmla="*/ 4653274 h 6998742"/>
            <a:gd name="connsiteX28" fmla="*/ 3668060 w 4652506"/>
            <a:gd name="connsiteY28" fmla="*/ 4699337 h 6998742"/>
            <a:gd name="connsiteX29" fmla="*/ 3745746 w 4652506"/>
            <a:gd name="connsiteY29" fmla="*/ 4852296 h 6998742"/>
            <a:gd name="connsiteX30" fmla="*/ 3719012 w 4652506"/>
            <a:gd name="connsiteY30" fmla="*/ 5037963 h 6998742"/>
            <a:gd name="connsiteX31" fmla="*/ 4083088 w 4652506"/>
            <a:gd name="connsiteY31" fmla="*/ 5171929 h 6998742"/>
            <a:gd name="connsiteX32" fmla="*/ 4117263 w 4652506"/>
            <a:gd name="connsiteY32" fmla="*/ 5374692 h 6998742"/>
            <a:gd name="connsiteX33" fmla="*/ 4312130 w 4652506"/>
            <a:gd name="connsiteY33" fmla="*/ 5392732 h 6998742"/>
            <a:gd name="connsiteX34" fmla="*/ 4075446 w 4652506"/>
            <a:gd name="connsiteY34" fmla="*/ 5626821 h 6998742"/>
            <a:gd name="connsiteX35" fmla="*/ 4300210 w 4652506"/>
            <a:gd name="connsiteY35" fmla="*/ 5620392 h 6998742"/>
            <a:gd name="connsiteX36" fmla="*/ 4219776 w 4652506"/>
            <a:gd name="connsiteY36" fmla="*/ 5811200 h 6998742"/>
            <a:gd name="connsiteX37" fmla="*/ 4057601 w 4652506"/>
            <a:gd name="connsiteY37" fmla="*/ 5944992 h 6998742"/>
            <a:gd name="connsiteX38" fmla="*/ 3966490 w 4652506"/>
            <a:gd name="connsiteY38" fmla="*/ 6375786 h 6998742"/>
            <a:gd name="connsiteX39" fmla="*/ 4454205 w 4652506"/>
            <a:gd name="connsiteY39" fmla="*/ 6998742 h 6998742"/>
            <a:gd name="connsiteX40" fmla="*/ 12900 w 4652506"/>
            <a:gd name="connsiteY40" fmla="*/ 6984377 h 6998742"/>
            <a:gd name="connsiteX0" fmla="*/ 12900 w 4652506"/>
            <a:gd name="connsiteY0" fmla="*/ 6984377 h 6998742"/>
            <a:gd name="connsiteX1" fmla="*/ 12900 w 4652506"/>
            <a:gd name="connsiteY1" fmla="*/ 2602878 h 6998742"/>
            <a:gd name="connsiteX2" fmla="*/ 4000 w 4652506"/>
            <a:gd name="connsiteY2" fmla="*/ 1231455 h 6998742"/>
            <a:gd name="connsiteX3" fmla="*/ 4000 w 4652506"/>
            <a:gd name="connsiteY3" fmla="*/ 9080 h 6998742"/>
            <a:gd name="connsiteX4" fmla="*/ 1717543 w 4652506"/>
            <a:gd name="connsiteY4" fmla="*/ 0 h 6998742"/>
            <a:gd name="connsiteX5" fmla="*/ 1701143 w 4652506"/>
            <a:gd name="connsiteY5" fmla="*/ 646569 h 6998742"/>
            <a:gd name="connsiteX6" fmla="*/ 1721297 w 4652506"/>
            <a:gd name="connsiteY6" fmla="*/ 787404 h 6998742"/>
            <a:gd name="connsiteX7" fmla="*/ 1698716 w 4652506"/>
            <a:gd name="connsiteY7" fmla="*/ 1193553 h 6998742"/>
            <a:gd name="connsiteX8" fmla="*/ 1555131 w 4652506"/>
            <a:gd name="connsiteY8" fmla="*/ 1517100 h 6998742"/>
            <a:gd name="connsiteX9" fmla="*/ 984682 w 4652506"/>
            <a:gd name="connsiteY9" fmla="*/ 2006135 h 6998742"/>
            <a:gd name="connsiteX10" fmla="*/ 1013726 w 4652506"/>
            <a:gd name="connsiteY10" fmla="*/ 2565710 h 6998742"/>
            <a:gd name="connsiteX11" fmla="*/ 1129359 w 4652506"/>
            <a:gd name="connsiteY11" fmla="*/ 2772385 h 6998742"/>
            <a:gd name="connsiteX12" fmla="*/ 1301467 w 4652506"/>
            <a:gd name="connsiteY12" fmla="*/ 2892399 h 6998742"/>
            <a:gd name="connsiteX13" fmla="*/ 1530867 w 4652506"/>
            <a:gd name="connsiteY13" fmla="*/ 2906280 h 6998742"/>
            <a:gd name="connsiteX14" fmla="*/ 1542869 w 4652506"/>
            <a:gd name="connsiteY14" fmla="*/ 3102901 h 6998742"/>
            <a:gd name="connsiteX15" fmla="*/ 1672382 w 4652506"/>
            <a:gd name="connsiteY15" fmla="*/ 3202599 h 6998742"/>
            <a:gd name="connsiteX16" fmla="*/ 1887488 w 4652506"/>
            <a:gd name="connsiteY16" fmla="*/ 3239559 h 6998742"/>
            <a:gd name="connsiteX17" fmla="*/ 2151863 w 4652506"/>
            <a:gd name="connsiteY17" fmla="*/ 3197509 h 6998742"/>
            <a:gd name="connsiteX18" fmla="*/ 2389156 w 4652506"/>
            <a:gd name="connsiteY18" fmla="*/ 3162072 h 6998742"/>
            <a:gd name="connsiteX19" fmla="*/ 2689147 w 4652506"/>
            <a:gd name="connsiteY19" fmla="*/ 3119318 h 6998742"/>
            <a:gd name="connsiteX20" fmla="*/ 2596033 w 4652506"/>
            <a:gd name="connsiteY20" fmla="*/ 3274868 h 6998742"/>
            <a:gd name="connsiteX21" fmla="*/ 2637154 w 4652506"/>
            <a:gd name="connsiteY21" fmla="*/ 3427771 h 6998742"/>
            <a:gd name="connsiteX22" fmla="*/ 2893037 w 4652506"/>
            <a:gd name="connsiteY22" fmla="*/ 3546250 h 6998742"/>
            <a:gd name="connsiteX23" fmla="*/ 3317352 w 4652506"/>
            <a:gd name="connsiteY23" fmla="*/ 3791376 h 6998742"/>
            <a:gd name="connsiteX24" fmla="*/ 3383911 w 4652506"/>
            <a:gd name="connsiteY24" fmla="*/ 4010545 h 6998742"/>
            <a:gd name="connsiteX25" fmla="*/ 3611651 w 4652506"/>
            <a:gd name="connsiteY25" fmla="*/ 4180776 h 6998742"/>
            <a:gd name="connsiteX26" fmla="*/ 3562243 w 4652506"/>
            <a:gd name="connsiteY26" fmla="*/ 4454317 h 6998742"/>
            <a:gd name="connsiteX27" fmla="*/ 3467805 w 4652506"/>
            <a:gd name="connsiteY27" fmla="*/ 4653274 h 6998742"/>
            <a:gd name="connsiteX28" fmla="*/ 3668060 w 4652506"/>
            <a:gd name="connsiteY28" fmla="*/ 4699337 h 6998742"/>
            <a:gd name="connsiteX29" fmla="*/ 3745746 w 4652506"/>
            <a:gd name="connsiteY29" fmla="*/ 4852296 h 6998742"/>
            <a:gd name="connsiteX30" fmla="*/ 3719012 w 4652506"/>
            <a:gd name="connsiteY30" fmla="*/ 5037963 h 6998742"/>
            <a:gd name="connsiteX31" fmla="*/ 4083088 w 4652506"/>
            <a:gd name="connsiteY31" fmla="*/ 5171929 h 6998742"/>
            <a:gd name="connsiteX32" fmla="*/ 4117263 w 4652506"/>
            <a:gd name="connsiteY32" fmla="*/ 5374692 h 6998742"/>
            <a:gd name="connsiteX33" fmla="*/ 4312130 w 4652506"/>
            <a:gd name="connsiteY33" fmla="*/ 5392732 h 6998742"/>
            <a:gd name="connsiteX34" fmla="*/ 4075446 w 4652506"/>
            <a:gd name="connsiteY34" fmla="*/ 5626821 h 6998742"/>
            <a:gd name="connsiteX35" fmla="*/ 4300210 w 4652506"/>
            <a:gd name="connsiteY35" fmla="*/ 5620392 h 6998742"/>
            <a:gd name="connsiteX36" fmla="*/ 4219776 w 4652506"/>
            <a:gd name="connsiteY36" fmla="*/ 5811200 h 6998742"/>
            <a:gd name="connsiteX37" fmla="*/ 4057601 w 4652506"/>
            <a:gd name="connsiteY37" fmla="*/ 5944992 h 6998742"/>
            <a:gd name="connsiteX38" fmla="*/ 3966490 w 4652506"/>
            <a:gd name="connsiteY38" fmla="*/ 6375786 h 6998742"/>
            <a:gd name="connsiteX39" fmla="*/ 4454205 w 4652506"/>
            <a:gd name="connsiteY39" fmla="*/ 6998742 h 6998742"/>
            <a:gd name="connsiteX40" fmla="*/ 12900 w 4652506"/>
            <a:gd name="connsiteY40" fmla="*/ 6984377 h 6998742"/>
            <a:gd name="connsiteX0" fmla="*/ 12900 w 4652506"/>
            <a:gd name="connsiteY0" fmla="*/ 6984377 h 6998742"/>
            <a:gd name="connsiteX1" fmla="*/ 12900 w 4652506"/>
            <a:gd name="connsiteY1" fmla="*/ 2602878 h 6998742"/>
            <a:gd name="connsiteX2" fmla="*/ 4000 w 4652506"/>
            <a:gd name="connsiteY2" fmla="*/ 1231455 h 6998742"/>
            <a:gd name="connsiteX3" fmla="*/ 4000 w 4652506"/>
            <a:gd name="connsiteY3" fmla="*/ 9080 h 6998742"/>
            <a:gd name="connsiteX4" fmla="*/ 1717543 w 4652506"/>
            <a:gd name="connsiteY4" fmla="*/ 0 h 6998742"/>
            <a:gd name="connsiteX5" fmla="*/ 1701143 w 4652506"/>
            <a:gd name="connsiteY5" fmla="*/ 646569 h 6998742"/>
            <a:gd name="connsiteX6" fmla="*/ 1721297 w 4652506"/>
            <a:gd name="connsiteY6" fmla="*/ 787404 h 6998742"/>
            <a:gd name="connsiteX7" fmla="*/ 1698716 w 4652506"/>
            <a:gd name="connsiteY7" fmla="*/ 1193553 h 6998742"/>
            <a:gd name="connsiteX8" fmla="*/ 1555131 w 4652506"/>
            <a:gd name="connsiteY8" fmla="*/ 1517100 h 6998742"/>
            <a:gd name="connsiteX9" fmla="*/ 984682 w 4652506"/>
            <a:gd name="connsiteY9" fmla="*/ 2006135 h 6998742"/>
            <a:gd name="connsiteX10" fmla="*/ 1013726 w 4652506"/>
            <a:gd name="connsiteY10" fmla="*/ 2565710 h 6998742"/>
            <a:gd name="connsiteX11" fmla="*/ 1129359 w 4652506"/>
            <a:gd name="connsiteY11" fmla="*/ 2772385 h 6998742"/>
            <a:gd name="connsiteX12" fmla="*/ 1301467 w 4652506"/>
            <a:gd name="connsiteY12" fmla="*/ 2892399 h 6998742"/>
            <a:gd name="connsiteX13" fmla="*/ 1530867 w 4652506"/>
            <a:gd name="connsiteY13" fmla="*/ 2906280 h 6998742"/>
            <a:gd name="connsiteX14" fmla="*/ 1542869 w 4652506"/>
            <a:gd name="connsiteY14" fmla="*/ 3102901 h 6998742"/>
            <a:gd name="connsiteX15" fmla="*/ 1699450 w 4652506"/>
            <a:gd name="connsiteY15" fmla="*/ 3155105 h 6998742"/>
            <a:gd name="connsiteX16" fmla="*/ 1887488 w 4652506"/>
            <a:gd name="connsiteY16" fmla="*/ 3239559 h 6998742"/>
            <a:gd name="connsiteX17" fmla="*/ 2151863 w 4652506"/>
            <a:gd name="connsiteY17" fmla="*/ 3197509 h 6998742"/>
            <a:gd name="connsiteX18" fmla="*/ 2389156 w 4652506"/>
            <a:gd name="connsiteY18" fmla="*/ 3162072 h 6998742"/>
            <a:gd name="connsiteX19" fmla="*/ 2689147 w 4652506"/>
            <a:gd name="connsiteY19" fmla="*/ 3119318 h 6998742"/>
            <a:gd name="connsiteX20" fmla="*/ 2596033 w 4652506"/>
            <a:gd name="connsiteY20" fmla="*/ 3274868 h 6998742"/>
            <a:gd name="connsiteX21" fmla="*/ 2637154 w 4652506"/>
            <a:gd name="connsiteY21" fmla="*/ 3427771 h 6998742"/>
            <a:gd name="connsiteX22" fmla="*/ 2893037 w 4652506"/>
            <a:gd name="connsiteY22" fmla="*/ 3546250 h 6998742"/>
            <a:gd name="connsiteX23" fmla="*/ 3317352 w 4652506"/>
            <a:gd name="connsiteY23" fmla="*/ 3791376 h 6998742"/>
            <a:gd name="connsiteX24" fmla="*/ 3383911 w 4652506"/>
            <a:gd name="connsiteY24" fmla="*/ 4010545 h 6998742"/>
            <a:gd name="connsiteX25" fmla="*/ 3611651 w 4652506"/>
            <a:gd name="connsiteY25" fmla="*/ 4180776 h 6998742"/>
            <a:gd name="connsiteX26" fmla="*/ 3562243 w 4652506"/>
            <a:gd name="connsiteY26" fmla="*/ 4454317 h 6998742"/>
            <a:gd name="connsiteX27" fmla="*/ 3467805 w 4652506"/>
            <a:gd name="connsiteY27" fmla="*/ 4653274 h 6998742"/>
            <a:gd name="connsiteX28" fmla="*/ 3668060 w 4652506"/>
            <a:gd name="connsiteY28" fmla="*/ 4699337 h 6998742"/>
            <a:gd name="connsiteX29" fmla="*/ 3745746 w 4652506"/>
            <a:gd name="connsiteY29" fmla="*/ 4852296 h 6998742"/>
            <a:gd name="connsiteX30" fmla="*/ 3719012 w 4652506"/>
            <a:gd name="connsiteY30" fmla="*/ 5037963 h 6998742"/>
            <a:gd name="connsiteX31" fmla="*/ 4083088 w 4652506"/>
            <a:gd name="connsiteY31" fmla="*/ 5171929 h 6998742"/>
            <a:gd name="connsiteX32" fmla="*/ 4117263 w 4652506"/>
            <a:gd name="connsiteY32" fmla="*/ 5374692 h 6998742"/>
            <a:gd name="connsiteX33" fmla="*/ 4312130 w 4652506"/>
            <a:gd name="connsiteY33" fmla="*/ 5392732 h 6998742"/>
            <a:gd name="connsiteX34" fmla="*/ 4075446 w 4652506"/>
            <a:gd name="connsiteY34" fmla="*/ 5626821 h 6998742"/>
            <a:gd name="connsiteX35" fmla="*/ 4300210 w 4652506"/>
            <a:gd name="connsiteY35" fmla="*/ 5620392 h 6998742"/>
            <a:gd name="connsiteX36" fmla="*/ 4219776 w 4652506"/>
            <a:gd name="connsiteY36" fmla="*/ 5811200 h 6998742"/>
            <a:gd name="connsiteX37" fmla="*/ 4057601 w 4652506"/>
            <a:gd name="connsiteY37" fmla="*/ 5944992 h 6998742"/>
            <a:gd name="connsiteX38" fmla="*/ 3966490 w 4652506"/>
            <a:gd name="connsiteY38" fmla="*/ 6375786 h 6998742"/>
            <a:gd name="connsiteX39" fmla="*/ 4454205 w 4652506"/>
            <a:gd name="connsiteY39" fmla="*/ 6998742 h 6998742"/>
            <a:gd name="connsiteX40" fmla="*/ 12900 w 4652506"/>
            <a:gd name="connsiteY40" fmla="*/ 6984377 h 6998742"/>
            <a:gd name="connsiteX0" fmla="*/ 12900 w 4652506"/>
            <a:gd name="connsiteY0" fmla="*/ 6984377 h 6998742"/>
            <a:gd name="connsiteX1" fmla="*/ 12900 w 4652506"/>
            <a:gd name="connsiteY1" fmla="*/ 2602878 h 6998742"/>
            <a:gd name="connsiteX2" fmla="*/ 4000 w 4652506"/>
            <a:gd name="connsiteY2" fmla="*/ 1231455 h 6998742"/>
            <a:gd name="connsiteX3" fmla="*/ 4000 w 4652506"/>
            <a:gd name="connsiteY3" fmla="*/ 9080 h 6998742"/>
            <a:gd name="connsiteX4" fmla="*/ 1717543 w 4652506"/>
            <a:gd name="connsiteY4" fmla="*/ 0 h 6998742"/>
            <a:gd name="connsiteX5" fmla="*/ 1701143 w 4652506"/>
            <a:gd name="connsiteY5" fmla="*/ 646569 h 6998742"/>
            <a:gd name="connsiteX6" fmla="*/ 1721297 w 4652506"/>
            <a:gd name="connsiteY6" fmla="*/ 787404 h 6998742"/>
            <a:gd name="connsiteX7" fmla="*/ 1698716 w 4652506"/>
            <a:gd name="connsiteY7" fmla="*/ 1193553 h 6998742"/>
            <a:gd name="connsiteX8" fmla="*/ 1555131 w 4652506"/>
            <a:gd name="connsiteY8" fmla="*/ 1517100 h 6998742"/>
            <a:gd name="connsiteX9" fmla="*/ 984682 w 4652506"/>
            <a:gd name="connsiteY9" fmla="*/ 2006135 h 6998742"/>
            <a:gd name="connsiteX10" fmla="*/ 1013726 w 4652506"/>
            <a:gd name="connsiteY10" fmla="*/ 2565710 h 6998742"/>
            <a:gd name="connsiteX11" fmla="*/ 1129359 w 4652506"/>
            <a:gd name="connsiteY11" fmla="*/ 2772385 h 6998742"/>
            <a:gd name="connsiteX12" fmla="*/ 1301467 w 4652506"/>
            <a:gd name="connsiteY12" fmla="*/ 2892399 h 6998742"/>
            <a:gd name="connsiteX13" fmla="*/ 1530867 w 4652506"/>
            <a:gd name="connsiteY13" fmla="*/ 2906280 h 6998742"/>
            <a:gd name="connsiteX14" fmla="*/ 1542869 w 4652506"/>
            <a:gd name="connsiteY14" fmla="*/ 3102901 h 6998742"/>
            <a:gd name="connsiteX15" fmla="*/ 1740051 w 4652506"/>
            <a:gd name="connsiteY15" fmla="*/ 3071991 h 6998742"/>
            <a:gd name="connsiteX16" fmla="*/ 1887488 w 4652506"/>
            <a:gd name="connsiteY16" fmla="*/ 3239559 h 6998742"/>
            <a:gd name="connsiteX17" fmla="*/ 2151863 w 4652506"/>
            <a:gd name="connsiteY17" fmla="*/ 3197509 h 6998742"/>
            <a:gd name="connsiteX18" fmla="*/ 2389156 w 4652506"/>
            <a:gd name="connsiteY18" fmla="*/ 3162072 h 6998742"/>
            <a:gd name="connsiteX19" fmla="*/ 2689147 w 4652506"/>
            <a:gd name="connsiteY19" fmla="*/ 3119318 h 6998742"/>
            <a:gd name="connsiteX20" fmla="*/ 2596033 w 4652506"/>
            <a:gd name="connsiteY20" fmla="*/ 3274868 h 6998742"/>
            <a:gd name="connsiteX21" fmla="*/ 2637154 w 4652506"/>
            <a:gd name="connsiteY21" fmla="*/ 3427771 h 6998742"/>
            <a:gd name="connsiteX22" fmla="*/ 2893037 w 4652506"/>
            <a:gd name="connsiteY22" fmla="*/ 3546250 h 6998742"/>
            <a:gd name="connsiteX23" fmla="*/ 3317352 w 4652506"/>
            <a:gd name="connsiteY23" fmla="*/ 3791376 h 6998742"/>
            <a:gd name="connsiteX24" fmla="*/ 3383911 w 4652506"/>
            <a:gd name="connsiteY24" fmla="*/ 4010545 h 6998742"/>
            <a:gd name="connsiteX25" fmla="*/ 3611651 w 4652506"/>
            <a:gd name="connsiteY25" fmla="*/ 4180776 h 6998742"/>
            <a:gd name="connsiteX26" fmla="*/ 3562243 w 4652506"/>
            <a:gd name="connsiteY26" fmla="*/ 4454317 h 6998742"/>
            <a:gd name="connsiteX27" fmla="*/ 3467805 w 4652506"/>
            <a:gd name="connsiteY27" fmla="*/ 4653274 h 6998742"/>
            <a:gd name="connsiteX28" fmla="*/ 3668060 w 4652506"/>
            <a:gd name="connsiteY28" fmla="*/ 4699337 h 6998742"/>
            <a:gd name="connsiteX29" fmla="*/ 3745746 w 4652506"/>
            <a:gd name="connsiteY29" fmla="*/ 4852296 h 6998742"/>
            <a:gd name="connsiteX30" fmla="*/ 3719012 w 4652506"/>
            <a:gd name="connsiteY30" fmla="*/ 5037963 h 6998742"/>
            <a:gd name="connsiteX31" fmla="*/ 4083088 w 4652506"/>
            <a:gd name="connsiteY31" fmla="*/ 5171929 h 6998742"/>
            <a:gd name="connsiteX32" fmla="*/ 4117263 w 4652506"/>
            <a:gd name="connsiteY32" fmla="*/ 5374692 h 6998742"/>
            <a:gd name="connsiteX33" fmla="*/ 4312130 w 4652506"/>
            <a:gd name="connsiteY33" fmla="*/ 5392732 h 6998742"/>
            <a:gd name="connsiteX34" fmla="*/ 4075446 w 4652506"/>
            <a:gd name="connsiteY34" fmla="*/ 5626821 h 6998742"/>
            <a:gd name="connsiteX35" fmla="*/ 4300210 w 4652506"/>
            <a:gd name="connsiteY35" fmla="*/ 5620392 h 6998742"/>
            <a:gd name="connsiteX36" fmla="*/ 4219776 w 4652506"/>
            <a:gd name="connsiteY36" fmla="*/ 5811200 h 6998742"/>
            <a:gd name="connsiteX37" fmla="*/ 4057601 w 4652506"/>
            <a:gd name="connsiteY37" fmla="*/ 5944992 h 6998742"/>
            <a:gd name="connsiteX38" fmla="*/ 3966490 w 4652506"/>
            <a:gd name="connsiteY38" fmla="*/ 6375786 h 6998742"/>
            <a:gd name="connsiteX39" fmla="*/ 4454205 w 4652506"/>
            <a:gd name="connsiteY39" fmla="*/ 6998742 h 6998742"/>
            <a:gd name="connsiteX40" fmla="*/ 12900 w 4652506"/>
            <a:gd name="connsiteY40" fmla="*/ 6984377 h 6998742"/>
            <a:gd name="connsiteX0" fmla="*/ 12900 w 4652506"/>
            <a:gd name="connsiteY0" fmla="*/ 6984377 h 6998742"/>
            <a:gd name="connsiteX1" fmla="*/ 12900 w 4652506"/>
            <a:gd name="connsiteY1" fmla="*/ 2602878 h 6998742"/>
            <a:gd name="connsiteX2" fmla="*/ 4000 w 4652506"/>
            <a:gd name="connsiteY2" fmla="*/ 1231455 h 6998742"/>
            <a:gd name="connsiteX3" fmla="*/ 4000 w 4652506"/>
            <a:gd name="connsiteY3" fmla="*/ 9080 h 6998742"/>
            <a:gd name="connsiteX4" fmla="*/ 1717543 w 4652506"/>
            <a:gd name="connsiteY4" fmla="*/ 0 h 6998742"/>
            <a:gd name="connsiteX5" fmla="*/ 1701143 w 4652506"/>
            <a:gd name="connsiteY5" fmla="*/ 646569 h 6998742"/>
            <a:gd name="connsiteX6" fmla="*/ 1721297 w 4652506"/>
            <a:gd name="connsiteY6" fmla="*/ 787404 h 6998742"/>
            <a:gd name="connsiteX7" fmla="*/ 1698716 w 4652506"/>
            <a:gd name="connsiteY7" fmla="*/ 1193553 h 6998742"/>
            <a:gd name="connsiteX8" fmla="*/ 1555131 w 4652506"/>
            <a:gd name="connsiteY8" fmla="*/ 1517100 h 6998742"/>
            <a:gd name="connsiteX9" fmla="*/ 984682 w 4652506"/>
            <a:gd name="connsiteY9" fmla="*/ 2006135 h 6998742"/>
            <a:gd name="connsiteX10" fmla="*/ 1013726 w 4652506"/>
            <a:gd name="connsiteY10" fmla="*/ 2565710 h 6998742"/>
            <a:gd name="connsiteX11" fmla="*/ 1129359 w 4652506"/>
            <a:gd name="connsiteY11" fmla="*/ 2772385 h 6998742"/>
            <a:gd name="connsiteX12" fmla="*/ 1301467 w 4652506"/>
            <a:gd name="connsiteY12" fmla="*/ 2892399 h 6998742"/>
            <a:gd name="connsiteX13" fmla="*/ 1530867 w 4652506"/>
            <a:gd name="connsiteY13" fmla="*/ 2906280 h 6998742"/>
            <a:gd name="connsiteX14" fmla="*/ 1542869 w 4652506"/>
            <a:gd name="connsiteY14" fmla="*/ 3102901 h 6998742"/>
            <a:gd name="connsiteX15" fmla="*/ 1740051 w 4652506"/>
            <a:gd name="connsiteY15" fmla="*/ 3071991 h 6998742"/>
            <a:gd name="connsiteX16" fmla="*/ 1887488 w 4652506"/>
            <a:gd name="connsiteY16" fmla="*/ 3239559 h 6998742"/>
            <a:gd name="connsiteX17" fmla="*/ 2151863 w 4652506"/>
            <a:gd name="connsiteY17" fmla="*/ 3066902 h 6998742"/>
            <a:gd name="connsiteX18" fmla="*/ 2389156 w 4652506"/>
            <a:gd name="connsiteY18" fmla="*/ 3162072 h 6998742"/>
            <a:gd name="connsiteX19" fmla="*/ 2689147 w 4652506"/>
            <a:gd name="connsiteY19" fmla="*/ 3119318 h 6998742"/>
            <a:gd name="connsiteX20" fmla="*/ 2596033 w 4652506"/>
            <a:gd name="connsiteY20" fmla="*/ 3274868 h 6998742"/>
            <a:gd name="connsiteX21" fmla="*/ 2637154 w 4652506"/>
            <a:gd name="connsiteY21" fmla="*/ 3427771 h 6998742"/>
            <a:gd name="connsiteX22" fmla="*/ 2893037 w 4652506"/>
            <a:gd name="connsiteY22" fmla="*/ 3546250 h 6998742"/>
            <a:gd name="connsiteX23" fmla="*/ 3317352 w 4652506"/>
            <a:gd name="connsiteY23" fmla="*/ 3791376 h 6998742"/>
            <a:gd name="connsiteX24" fmla="*/ 3383911 w 4652506"/>
            <a:gd name="connsiteY24" fmla="*/ 4010545 h 6998742"/>
            <a:gd name="connsiteX25" fmla="*/ 3611651 w 4652506"/>
            <a:gd name="connsiteY25" fmla="*/ 4180776 h 6998742"/>
            <a:gd name="connsiteX26" fmla="*/ 3562243 w 4652506"/>
            <a:gd name="connsiteY26" fmla="*/ 4454317 h 6998742"/>
            <a:gd name="connsiteX27" fmla="*/ 3467805 w 4652506"/>
            <a:gd name="connsiteY27" fmla="*/ 4653274 h 6998742"/>
            <a:gd name="connsiteX28" fmla="*/ 3668060 w 4652506"/>
            <a:gd name="connsiteY28" fmla="*/ 4699337 h 6998742"/>
            <a:gd name="connsiteX29" fmla="*/ 3745746 w 4652506"/>
            <a:gd name="connsiteY29" fmla="*/ 4852296 h 6998742"/>
            <a:gd name="connsiteX30" fmla="*/ 3719012 w 4652506"/>
            <a:gd name="connsiteY30" fmla="*/ 5037963 h 6998742"/>
            <a:gd name="connsiteX31" fmla="*/ 4083088 w 4652506"/>
            <a:gd name="connsiteY31" fmla="*/ 5171929 h 6998742"/>
            <a:gd name="connsiteX32" fmla="*/ 4117263 w 4652506"/>
            <a:gd name="connsiteY32" fmla="*/ 5374692 h 6998742"/>
            <a:gd name="connsiteX33" fmla="*/ 4312130 w 4652506"/>
            <a:gd name="connsiteY33" fmla="*/ 5392732 h 6998742"/>
            <a:gd name="connsiteX34" fmla="*/ 4075446 w 4652506"/>
            <a:gd name="connsiteY34" fmla="*/ 5626821 h 6998742"/>
            <a:gd name="connsiteX35" fmla="*/ 4300210 w 4652506"/>
            <a:gd name="connsiteY35" fmla="*/ 5620392 h 6998742"/>
            <a:gd name="connsiteX36" fmla="*/ 4219776 w 4652506"/>
            <a:gd name="connsiteY36" fmla="*/ 5811200 h 6998742"/>
            <a:gd name="connsiteX37" fmla="*/ 4057601 w 4652506"/>
            <a:gd name="connsiteY37" fmla="*/ 5944992 h 6998742"/>
            <a:gd name="connsiteX38" fmla="*/ 3966490 w 4652506"/>
            <a:gd name="connsiteY38" fmla="*/ 6375786 h 6998742"/>
            <a:gd name="connsiteX39" fmla="*/ 4454205 w 4652506"/>
            <a:gd name="connsiteY39" fmla="*/ 6998742 h 6998742"/>
            <a:gd name="connsiteX40" fmla="*/ 12900 w 4652506"/>
            <a:gd name="connsiteY40" fmla="*/ 6984377 h 6998742"/>
            <a:gd name="connsiteX0" fmla="*/ 12900 w 4652506"/>
            <a:gd name="connsiteY0" fmla="*/ 6984377 h 6998742"/>
            <a:gd name="connsiteX1" fmla="*/ 12900 w 4652506"/>
            <a:gd name="connsiteY1" fmla="*/ 2602878 h 6998742"/>
            <a:gd name="connsiteX2" fmla="*/ 4000 w 4652506"/>
            <a:gd name="connsiteY2" fmla="*/ 1231455 h 6998742"/>
            <a:gd name="connsiteX3" fmla="*/ 4000 w 4652506"/>
            <a:gd name="connsiteY3" fmla="*/ 9080 h 6998742"/>
            <a:gd name="connsiteX4" fmla="*/ 1717543 w 4652506"/>
            <a:gd name="connsiteY4" fmla="*/ 0 h 6998742"/>
            <a:gd name="connsiteX5" fmla="*/ 1701143 w 4652506"/>
            <a:gd name="connsiteY5" fmla="*/ 646569 h 6998742"/>
            <a:gd name="connsiteX6" fmla="*/ 1721297 w 4652506"/>
            <a:gd name="connsiteY6" fmla="*/ 787404 h 6998742"/>
            <a:gd name="connsiteX7" fmla="*/ 1698716 w 4652506"/>
            <a:gd name="connsiteY7" fmla="*/ 1193553 h 6998742"/>
            <a:gd name="connsiteX8" fmla="*/ 1555131 w 4652506"/>
            <a:gd name="connsiteY8" fmla="*/ 1517100 h 6998742"/>
            <a:gd name="connsiteX9" fmla="*/ 984682 w 4652506"/>
            <a:gd name="connsiteY9" fmla="*/ 2006135 h 6998742"/>
            <a:gd name="connsiteX10" fmla="*/ 1013726 w 4652506"/>
            <a:gd name="connsiteY10" fmla="*/ 2565710 h 6998742"/>
            <a:gd name="connsiteX11" fmla="*/ 1129359 w 4652506"/>
            <a:gd name="connsiteY11" fmla="*/ 2772385 h 6998742"/>
            <a:gd name="connsiteX12" fmla="*/ 1301467 w 4652506"/>
            <a:gd name="connsiteY12" fmla="*/ 2892399 h 6998742"/>
            <a:gd name="connsiteX13" fmla="*/ 1530867 w 4652506"/>
            <a:gd name="connsiteY13" fmla="*/ 2906280 h 6998742"/>
            <a:gd name="connsiteX14" fmla="*/ 1542869 w 4652506"/>
            <a:gd name="connsiteY14" fmla="*/ 3102901 h 6998742"/>
            <a:gd name="connsiteX15" fmla="*/ 1740051 w 4652506"/>
            <a:gd name="connsiteY15" fmla="*/ 3071991 h 6998742"/>
            <a:gd name="connsiteX16" fmla="*/ 1873955 w 4652506"/>
            <a:gd name="connsiteY16" fmla="*/ 3132699 h 6998742"/>
            <a:gd name="connsiteX17" fmla="*/ 2151863 w 4652506"/>
            <a:gd name="connsiteY17" fmla="*/ 3066902 h 6998742"/>
            <a:gd name="connsiteX18" fmla="*/ 2389156 w 4652506"/>
            <a:gd name="connsiteY18" fmla="*/ 3162072 h 6998742"/>
            <a:gd name="connsiteX19" fmla="*/ 2689147 w 4652506"/>
            <a:gd name="connsiteY19" fmla="*/ 3119318 h 6998742"/>
            <a:gd name="connsiteX20" fmla="*/ 2596033 w 4652506"/>
            <a:gd name="connsiteY20" fmla="*/ 3274868 h 6998742"/>
            <a:gd name="connsiteX21" fmla="*/ 2637154 w 4652506"/>
            <a:gd name="connsiteY21" fmla="*/ 3427771 h 6998742"/>
            <a:gd name="connsiteX22" fmla="*/ 2893037 w 4652506"/>
            <a:gd name="connsiteY22" fmla="*/ 3546250 h 6998742"/>
            <a:gd name="connsiteX23" fmla="*/ 3317352 w 4652506"/>
            <a:gd name="connsiteY23" fmla="*/ 3791376 h 6998742"/>
            <a:gd name="connsiteX24" fmla="*/ 3383911 w 4652506"/>
            <a:gd name="connsiteY24" fmla="*/ 4010545 h 6998742"/>
            <a:gd name="connsiteX25" fmla="*/ 3611651 w 4652506"/>
            <a:gd name="connsiteY25" fmla="*/ 4180776 h 6998742"/>
            <a:gd name="connsiteX26" fmla="*/ 3562243 w 4652506"/>
            <a:gd name="connsiteY26" fmla="*/ 4454317 h 6998742"/>
            <a:gd name="connsiteX27" fmla="*/ 3467805 w 4652506"/>
            <a:gd name="connsiteY27" fmla="*/ 4653274 h 6998742"/>
            <a:gd name="connsiteX28" fmla="*/ 3668060 w 4652506"/>
            <a:gd name="connsiteY28" fmla="*/ 4699337 h 6998742"/>
            <a:gd name="connsiteX29" fmla="*/ 3745746 w 4652506"/>
            <a:gd name="connsiteY29" fmla="*/ 4852296 h 6998742"/>
            <a:gd name="connsiteX30" fmla="*/ 3719012 w 4652506"/>
            <a:gd name="connsiteY30" fmla="*/ 5037963 h 6998742"/>
            <a:gd name="connsiteX31" fmla="*/ 4083088 w 4652506"/>
            <a:gd name="connsiteY31" fmla="*/ 5171929 h 6998742"/>
            <a:gd name="connsiteX32" fmla="*/ 4117263 w 4652506"/>
            <a:gd name="connsiteY32" fmla="*/ 5374692 h 6998742"/>
            <a:gd name="connsiteX33" fmla="*/ 4312130 w 4652506"/>
            <a:gd name="connsiteY33" fmla="*/ 5392732 h 6998742"/>
            <a:gd name="connsiteX34" fmla="*/ 4075446 w 4652506"/>
            <a:gd name="connsiteY34" fmla="*/ 5626821 h 6998742"/>
            <a:gd name="connsiteX35" fmla="*/ 4300210 w 4652506"/>
            <a:gd name="connsiteY35" fmla="*/ 5620392 h 6998742"/>
            <a:gd name="connsiteX36" fmla="*/ 4219776 w 4652506"/>
            <a:gd name="connsiteY36" fmla="*/ 5811200 h 6998742"/>
            <a:gd name="connsiteX37" fmla="*/ 4057601 w 4652506"/>
            <a:gd name="connsiteY37" fmla="*/ 5944992 h 6998742"/>
            <a:gd name="connsiteX38" fmla="*/ 3966490 w 4652506"/>
            <a:gd name="connsiteY38" fmla="*/ 6375786 h 6998742"/>
            <a:gd name="connsiteX39" fmla="*/ 4454205 w 4652506"/>
            <a:gd name="connsiteY39" fmla="*/ 6998742 h 6998742"/>
            <a:gd name="connsiteX40" fmla="*/ 12900 w 4652506"/>
            <a:gd name="connsiteY40" fmla="*/ 6984377 h 6998742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  <a:cxn ang="0">
              <a:pos x="connsiteX21" y="connsiteY21"/>
            </a:cxn>
            <a:cxn ang="0">
              <a:pos x="connsiteX22" y="connsiteY22"/>
            </a:cxn>
            <a:cxn ang="0">
              <a:pos x="connsiteX23" y="connsiteY23"/>
            </a:cxn>
            <a:cxn ang="0">
              <a:pos x="connsiteX24" y="connsiteY24"/>
            </a:cxn>
            <a:cxn ang="0">
              <a:pos x="connsiteX25" y="connsiteY25"/>
            </a:cxn>
            <a:cxn ang="0">
              <a:pos x="connsiteX26" y="connsiteY26"/>
            </a:cxn>
            <a:cxn ang="0">
              <a:pos x="connsiteX27" y="connsiteY27"/>
            </a:cxn>
            <a:cxn ang="0">
              <a:pos x="connsiteX28" y="connsiteY28"/>
            </a:cxn>
            <a:cxn ang="0">
              <a:pos x="connsiteX29" y="connsiteY29"/>
            </a:cxn>
            <a:cxn ang="0">
              <a:pos x="connsiteX30" y="connsiteY30"/>
            </a:cxn>
            <a:cxn ang="0">
              <a:pos x="connsiteX31" y="connsiteY31"/>
            </a:cxn>
            <a:cxn ang="0">
              <a:pos x="connsiteX32" y="connsiteY32"/>
            </a:cxn>
            <a:cxn ang="0">
              <a:pos x="connsiteX33" y="connsiteY33"/>
            </a:cxn>
            <a:cxn ang="0">
              <a:pos x="connsiteX34" y="connsiteY34"/>
            </a:cxn>
            <a:cxn ang="0">
              <a:pos x="connsiteX35" y="connsiteY35"/>
            </a:cxn>
            <a:cxn ang="0">
              <a:pos x="connsiteX36" y="connsiteY36"/>
            </a:cxn>
            <a:cxn ang="0">
              <a:pos x="connsiteX37" y="connsiteY37"/>
            </a:cxn>
            <a:cxn ang="0">
              <a:pos x="connsiteX38" y="connsiteY38"/>
            </a:cxn>
            <a:cxn ang="0">
              <a:pos x="connsiteX39" y="connsiteY39"/>
            </a:cxn>
            <a:cxn ang="0">
              <a:pos x="connsiteX40" y="connsiteY40"/>
            </a:cxn>
          </a:cxnLst>
          <a:rect l="l" t="t" r="r" b="b"/>
          <a:pathLst>
            <a:path w="4652506" h="6998742">
              <a:moveTo>
                <a:pt x="12900" y="6984377"/>
              </a:moveTo>
              <a:lnTo>
                <a:pt x="12900" y="2602878"/>
              </a:lnTo>
              <a:cubicBezTo>
                <a:pt x="9933" y="2145737"/>
                <a:pt x="6967" y="1688596"/>
                <a:pt x="4000" y="1231455"/>
              </a:cubicBezTo>
              <a:cubicBezTo>
                <a:pt x="17857" y="1230090"/>
                <a:pt x="-9857" y="10445"/>
                <a:pt x="4000" y="9080"/>
              </a:cubicBezTo>
              <a:lnTo>
                <a:pt x="1717543" y="0"/>
              </a:lnTo>
              <a:lnTo>
                <a:pt x="1701143" y="646569"/>
              </a:lnTo>
              <a:lnTo>
                <a:pt x="1721297" y="787404"/>
              </a:lnTo>
              <a:lnTo>
                <a:pt x="1698716" y="1193553"/>
              </a:lnTo>
              <a:lnTo>
                <a:pt x="1555131" y="1517100"/>
              </a:lnTo>
              <a:cubicBezTo>
                <a:pt x="1440194" y="1674384"/>
                <a:pt x="1040109" y="1873046"/>
                <a:pt x="984682" y="2006135"/>
              </a:cubicBezTo>
              <a:cubicBezTo>
                <a:pt x="925076" y="2194745"/>
                <a:pt x="978703" y="2423848"/>
                <a:pt x="1013726" y="2565710"/>
              </a:cubicBezTo>
              <a:lnTo>
                <a:pt x="1129359" y="2772385"/>
              </a:lnTo>
              <a:cubicBezTo>
                <a:pt x="1177316" y="2826833"/>
                <a:pt x="1248544" y="2873134"/>
                <a:pt x="1301467" y="2892399"/>
              </a:cubicBezTo>
              <a:cubicBezTo>
                <a:pt x="1469843" y="2939120"/>
                <a:pt x="1490633" y="2871196"/>
                <a:pt x="1530867" y="2906280"/>
              </a:cubicBezTo>
              <a:cubicBezTo>
                <a:pt x="1591039" y="2935435"/>
                <a:pt x="1508005" y="3075283"/>
                <a:pt x="1542869" y="3102901"/>
              </a:cubicBezTo>
              <a:cubicBezTo>
                <a:pt x="1577733" y="3130520"/>
                <a:pt x="1686113" y="3032765"/>
                <a:pt x="1740051" y="3071991"/>
              </a:cubicBezTo>
              <a:cubicBezTo>
                <a:pt x="1833091" y="3164132"/>
                <a:pt x="1805320" y="3133547"/>
                <a:pt x="1873955" y="3132699"/>
              </a:cubicBezTo>
              <a:cubicBezTo>
                <a:pt x="1942590" y="3131851"/>
                <a:pt x="2065996" y="3062007"/>
                <a:pt x="2151863" y="3066902"/>
              </a:cubicBezTo>
              <a:cubicBezTo>
                <a:pt x="2237730" y="3071797"/>
                <a:pt x="2310570" y="3204747"/>
                <a:pt x="2389156" y="3162072"/>
              </a:cubicBezTo>
              <a:cubicBezTo>
                <a:pt x="2534222" y="3133487"/>
                <a:pt x="2650713" y="3076240"/>
                <a:pt x="2689147" y="3119318"/>
              </a:cubicBezTo>
              <a:cubicBezTo>
                <a:pt x="2741626" y="3110166"/>
                <a:pt x="2604698" y="3223459"/>
                <a:pt x="2596033" y="3274868"/>
              </a:cubicBezTo>
              <a:cubicBezTo>
                <a:pt x="2587368" y="3326277"/>
                <a:pt x="2602798" y="3359981"/>
                <a:pt x="2637154" y="3427771"/>
              </a:cubicBezTo>
              <a:cubicBezTo>
                <a:pt x="2770510" y="3522250"/>
                <a:pt x="2779671" y="3485649"/>
                <a:pt x="2893037" y="3546250"/>
              </a:cubicBezTo>
              <a:cubicBezTo>
                <a:pt x="3006403" y="3606851"/>
                <a:pt x="3254672" y="3680236"/>
                <a:pt x="3317352" y="3791376"/>
              </a:cubicBezTo>
              <a:cubicBezTo>
                <a:pt x="3445845" y="3877819"/>
                <a:pt x="3311830" y="3930277"/>
                <a:pt x="3383911" y="4010545"/>
              </a:cubicBezTo>
              <a:cubicBezTo>
                <a:pt x="3413106" y="4075919"/>
                <a:pt x="3611728" y="4093001"/>
                <a:pt x="3611651" y="4180776"/>
              </a:cubicBezTo>
              <a:cubicBezTo>
                <a:pt x="3611574" y="4268551"/>
                <a:pt x="3586217" y="4375567"/>
                <a:pt x="3562243" y="4454317"/>
              </a:cubicBezTo>
              <a:cubicBezTo>
                <a:pt x="3538269" y="4533067"/>
                <a:pt x="3428630" y="4603878"/>
                <a:pt x="3467805" y="4653274"/>
              </a:cubicBezTo>
              <a:cubicBezTo>
                <a:pt x="3501831" y="4700250"/>
                <a:pt x="3621722" y="4636757"/>
                <a:pt x="3668060" y="4699337"/>
              </a:cubicBezTo>
              <a:cubicBezTo>
                <a:pt x="3715874" y="4712678"/>
                <a:pt x="3746194" y="4797393"/>
                <a:pt x="3745746" y="4852296"/>
              </a:cubicBezTo>
              <a:cubicBezTo>
                <a:pt x="3745298" y="4907199"/>
                <a:pt x="3650869" y="4964861"/>
                <a:pt x="3719012" y="5037963"/>
              </a:cubicBezTo>
              <a:lnTo>
                <a:pt x="4083088" y="5171929"/>
              </a:lnTo>
              <a:cubicBezTo>
                <a:pt x="4153602" y="5249110"/>
                <a:pt x="4059285" y="5323753"/>
                <a:pt x="4117263" y="5374692"/>
              </a:cubicBezTo>
              <a:cubicBezTo>
                <a:pt x="4148826" y="5421836"/>
                <a:pt x="4319100" y="5350710"/>
                <a:pt x="4312130" y="5392732"/>
              </a:cubicBezTo>
              <a:cubicBezTo>
                <a:pt x="4305160" y="5434754"/>
                <a:pt x="4077433" y="5588878"/>
                <a:pt x="4075446" y="5626821"/>
              </a:cubicBezTo>
              <a:cubicBezTo>
                <a:pt x="4073459" y="5664764"/>
                <a:pt x="4276155" y="5589662"/>
                <a:pt x="4300210" y="5620392"/>
              </a:cubicBezTo>
              <a:cubicBezTo>
                <a:pt x="4324265" y="5651122"/>
                <a:pt x="4260211" y="5757100"/>
                <a:pt x="4219776" y="5811200"/>
              </a:cubicBezTo>
              <a:cubicBezTo>
                <a:pt x="4179341" y="5865300"/>
                <a:pt x="4181383" y="5833838"/>
                <a:pt x="4057601" y="5944992"/>
              </a:cubicBezTo>
              <a:cubicBezTo>
                <a:pt x="3931133" y="6052641"/>
                <a:pt x="3922315" y="6184518"/>
                <a:pt x="3966490" y="6375786"/>
              </a:cubicBezTo>
              <a:cubicBezTo>
                <a:pt x="4010665" y="6567054"/>
                <a:pt x="5085794" y="6898186"/>
                <a:pt x="4454205" y="6998742"/>
              </a:cubicBezTo>
              <a:lnTo>
                <a:pt x="12900" y="6984377"/>
              </a:lnTo>
              <a:close/>
            </a:path>
          </a:pathLst>
        </a:custGeom>
        <a:solidFill>
          <a:srgbClr val="FFFF4B"/>
        </a:solidFill>
        <a:ln>
          <a:noFill/>
        </a:ln>
        <a:effectLst>
          <a:outerShdw dist="279400" algn="ctr" rotWithShape="0">
            <a:srgbClr val="00B050"/>
          </a:outerShdw>
        </a:effec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28575</xdr:colOff>
          <xdr:row>37</xdr:row>
          <xdr:rowOff>171450</xdr:rowOff>
        </xdr:from>
        <xdr:to>
          <xdr:col>6</xdr:col>
          <xdr:colOff>28575</xdr:colOff>
          <xdr:row>39</xdr:row>
          <xdr:rowOff>9525</xdr:rowOff>
        </xdr:to>
        <xdr:sp macro="" textlink="">
          <xdr:nvSpPr>
            <xdr:cNvPr id="2056" name="Button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xmlns="" id="{00000000-0008-0000-02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pt-B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Order systems according to selected approach 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16</xdr:row>
          <xdr:rowOff>123825</xdr:rowOff>
        </xdr:from>
        <xdr:to>
          <xdr:col>3</xdr:col>
          <xdr:colOff>104775</xdr:colOff>
          <xdr:row>17</xdr:row>
          <xdr:rowOff>123825</xdr:rowOff>
        </xdr:to>
        <xdr:sp macro="" textlink="">
          <xdr:nvSpPr>
            <xdr:cNvPr id="9993" name="Label 2825" descr="SELECTED INDICATORS" hidden="1">
              <a:extLst>
                <a:ext uri="{63B3BB69-23CF-44E3-9099-C40C66FF867C}">
                  <a14:compatExt spid="_x0000_s9993"/>
                </a:ext>
                <a:ext uri="{FF2B5EF4-FFF2-40B4-BE49-F238E27FC236}">
                  <a16:creationId xmlns:a16="http://schemas.microsoft.com/office/drawing/2014/main" xmlns="" id="{00000000-0008-0000-0200-0000092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0" anchor="t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SELECTED  INDICATORS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17</xdr:row>
          <xdr:rowOff>152400</xdr:rowOff>
        </xdr:from>
        <xdr:to>
          <xdr:col>3</xdr:col>
          <xdr:colOff>485775</xdr:colOff>
          <xdr:row>18</xdr:row>
          <xdr:rowOff>180975</xdr:rowOff>
        </xdr:to>
        <xdr:sp macro="" textlink="">
          <xdr:nvSpPr>
            <xdr:cNvPr id="18097" name="Check Box 3761" hidden="1">
              <a:extLst>
                <a:ext uri="{63B3BB69-23CF-44E3-9099-C40C66FF867C}">
                  <a14:compatExt spid="_x0000_s18097"/>
                </a:ext>
                <a:ext uri="{FF2B5EF4-FFF2-40B4-BE49-F238E27FC236}">
                  <a16:creationId xmlns:a16="http://schemas.microsoft.com/office/drawing/2014/main" xmlns="" id="{00000000-0008-0000-0200-0000B14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CCFF" mc:Ignorable="a14" a14:legacySpreadsheetColorIndex="40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ENVIRONMENT AS PROVIDER ( Sector 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314325</xdr:colOff>
          <xdr:row>18</xdr:row>
          <xdr:rowOff>190500</xdr:rowOff>
        </xdr:from>
        <xdr:to>
          <xdr:col>4</xdr:col>
          <xdr:colOff>314325</xdr:colOff>
          <xdr:row>20</xdr:row>
          <xdr:rowOff>28575</xdr:rowOff>
        </xdr:to>
        <xdr:sp macro="" textlink="">
          <xdr:nvSpPr>
            <xdr:cNvPr id="18098" name="Check Box 3762" hidden="1">
              <a:extLst>
                <a:ext uri="{63B3BB69-23CF-44E3-9099-C40C66FF867C}">
                  <a14:compatExt spid="_x0000_s18098"/>
                </a:ext>
                <a:ext uri="{FF2B5EF4-FFF2-40B4-BE49-F238E27FC236}">
                  <a16:creationId xmlns:a16="http://schemas.microsoft.com/office/drawing/2014/main" xmlns="" id="{00000000-0008-0000-0200-0000B24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FF" mc:Ignorable="a14" a14:legacySpreadsheetColorIndex="4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Indicator K11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381000</xdr:colOff>
          <xdr:row>20</xdr:row>
          <xdr:rowOff>57150</xdr:rowOff>
        </xdr:from>
        <xdr:to>
          <xdr:col>4</xdr:col>
          <xdr:colOff>390525</xdr:colOff>
          <xdr:row>21</xdr:row>
          <xdr:rowOff>85725</xdr:rowOff>
        </xdr:to>
        <xdr:sp macro="" textlink="">
          <xdr:nvSpPr>
            <xdr:cNvPr id="18099" name="Check Box 3763" hidden="1">
              <a:extLst>
                <a:ext uri="{63B3BB69-23CF-44E3-9099-C40C66FF867C}">
                  <a14:compatExt spid="_x0000_s18099"/>
                </a:ext>
                <a:ext uri="{FF2B5EF4-FFF2-40B4-BE49-F238E27FC236}">
                  <a16:creationId xmlns:a16="http://schemas.microsoft.com/office/drawing/2014/main" xmlns="" id="{00000000-0008-0000-0200-0000B34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FF" mc:Ignorable="a14" a14:legacySpreadsheetColorIndex="4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Indicator K12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21</xdr:row>
          <xdr:rowOff>133350</xdr:rowOff>
        </xdr:from>
        <xdr:to>
          <xdr:col>5</xdr:col>
          <xdr:colOff>57150</xdr:colOff>
          <xdr:row>22</xdr:row>
          <xdr:rowOff>180975</xdr:rowOff>
        </xdr:to>
        <xdr:sp macro="" textlink="">
          <xdr:nvSpPr>
            <xdr:cNvPr id="18100" name="Check Box 3764" hidden="1">
              <a:extLst>
                <a:ext uri="{63B3BB69-23CF-44E3-9099-C40C66FF867C}">
                  <a14:compatExt spid="_x0000_s18100"/>
                </a:ext>
                <a:ext uri="{FF2B5EF4-FFF2-40B4-BE49-F238E27FC236}">
                  <a16:creationId xmlns:a16="http://schemas.microsoft.com/office/drawing/2014/main" xmlns="" id="{00000000-0008-0000-0200-0000B44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CCFF" mc:Ignorable="a14" a14:legacySpreadsheetColorIndex="40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ENVIRONMENT AS RECEIVER (Sector 2)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476250</xdr:colOff>
          <xdr:row>22</xdr:row>
          <xdr:rowOff>180975</xdr:rowOff>
        </xdr:from>
        <xdr:to>
          <xdr:col>5</xdr:col>
          <xdr:colOff>0</xdr:colOff>
          <xdr:row>24</xdr:row>
          <xdr:rowOff>0</xdr:rowOff>
        </xdr:to>
        <xdr:sp macro="" textlink="">
          <xdr:nvSpPr>
            <xdr:cNvPr id="18101" name="Check Box 3765" hidden="1">
              <a:extLst>
                <a:ext uri="{63B3BB69-23CF-44E3-9099-C40C66FF867C}">
                  <a14:compatExt spid="_x0000_s18101"/>
                </a:ext>
                <a:ext uri="{FF2B5EF4-FFF2-40B4-BE49-F238E27FC236}">
                  <a16:creationId xmlns:a16="http://schemas.microsoft.com/office/drawing/2014/main" xmlns="" id="{00000000-0008-0000-0200-0000B54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FF" mc:Ignorable="a14" a14:legacySpreadsheetColorIndex="4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Indicator K21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24</xdr:row>
          <xdr:rowOff>19050</xdr:rowOff>
        </xdr:from>
        <xdr:to>
          <xdr:col>4</xdr:col>
          <xdr:colOff>514350</xdr:colOff>
          <xdr:row>25</xdr:row>
          <xdr:rowOff>57150</xdr:rowOff>
        </xdr:to>
        <xdr:sp macro="" textlink="">
          <xdr:nvSpPr>
            <xdr:cNvPr id="18102" name="Check Box 3766" hidden="1">
              <a:extLst>
                <a:ext uri="{63B3BB69-23CF-44E3-9099-C40C66FF867C}">
                  <a14:compatExt spid="_x0000_s18102"/>
                </a:ext>
                <a:ext uri="{FF2B5EF4-FFF2-40B4-BE49-F238E27FC236}">
                  <a16:creationId xmlns:a16="http://schemas.microsoft.com/office/drawing/2014/main" xmlns="" id="{00000000-0008-0000-0200-0000B64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FF" mc:Ignorable="a14" a14:legacySpreadsheetColorIndex="4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Indicator K22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371475</xdr:colOff>
          <xdr:row>25</xdr:row>
          <xdr:rowOff>114300</xdr:rowOff>
        </xdr:from>
        <xdr:to>
          <xdr:col>3</xdr:col>
          <xdr:colOff>476250</xdr:colOff>
          <xdr:row>26</xdr:row>
          <xdr:rowOff>161925</xdr:rowOff>
        </xdr:to>
        <xdr:sp macro="" textlink="">
          <xdr:nvSpPr>
            <xdr:cNvPr id="18103" name="Check Box 3767" hidden="1">
              <a:extLst>
                <a:ext uri="{63B3BB69-23CF-44E3-9099-C40C66FF867C}">
                  <a14:compatExt spid="_x0000_s18103"/>
                </a:ext>
                <a:ext uri="{FF2B5EF4-FFF2-40B4-BE49-F238E27FC236}">
                  <a16:creationId xmlns:a16="http://schemas.microsoft.com/office/drawing/2014/main" xmlns="" id="{00000000-0008-0000-0200-0000B74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CCFF" mc:Ignorable="a14" a14:legacySpreadsheetColorIndex="40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PRODUCTION SYSTEM (Sector 3)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657225</xdr:colOff>
          <xdr:row>26</xdr:row>
          <xdr:rowOff>171450</xdr:rowOff>
        </xdr:from>
        <xdr:to>
          <xdr:col>5</xdr:col>
          <xdr:colOff>561975</xdr:colOff>
          <xdr:row>28</xdr:row>
          <xdr:rowOff>0</xdr:rowOff>
        </xdr:to>
        <xdr:sp macro="" textlink="">
          <xdr:nvSpPr>
            <xdr:cNvPr id="18104" name="Check Box 3768" hidden="1">
              <a:extLst>
                <a:ext uri="{63B3BB69-23CF-44E3-9099-C40C66FF867C}">
                  <a14:compatExt spid="_x0000_s18104"/>
                </a:ext>
                <a:ext uri="{FF2B5EF4-FFF2-40B4-BE49-F238E27FC236}">
                  <a16:creationId xmlns:a16="http://schemas.microsoft.com/office/drawing/2014/main" xmlns="" id="{00000000-0008-0000-0200-0000B84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Indicator K31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714375</xdr:colOff>
          <xdr:row>28</xdr:row>
          <xdr:rowOff>19050</xdr:rowOff>
        </xdr:from>
        <xdr:to>
          <xdr:col>4</xdr:col>
          <xdr:colOff>228600</xdr:colOff>
          <xdr:row>29</xdr:row>
          <xdr:rowOff>38100</xdr:rowOff>
        </xdr:to>
        <xdr:sp macro="" textlink="">
          <xdr:nvSpPr>
            <xdr:cNvPr id="18105" name="Check Box 3769" hidden="1">
              <a:extLst>
                <a:ext uri="{63B3BB69-23CF-44E3-9099-C40C66FF867C}">
                  <a14:compatExt spid="_x0000_s18105"/>
                </a:ext>
                <a:ext uri="{FF2B5EF4-FFF2-40B4-BE49-F238E27FC236}">
                  <a16:creationId xmlns:a16="http://schemas.microsoft.com/office/drawing/2014/main" xmlns="" id="{00000000-0008-0000-0200-0000B94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Indicator K32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504825</xdr:colOff>
          <xdr:row>29</xdr:row>
          <xdr:rowOff>28575</xdr:rowOff>
        </xdr:from>
        <xdr:to>
          <xdr:col>5</xdr:col>
          <xdr:colOff>533400</xdr:colOff>
          <xdr:row>30</xdr:row>
          <xdr:rowOff>66675</xdr:rowOff>
        </xdr:to>
        <xdr:sp macro="" textlink="">
          <xdr:nvSpPr>
            <xdr:cNvPr id="18106" name="Check Box 3770" hidden="1">
              <a:extLst>
                <a:ext uri="{63B3BB69-23CF-44E3-9099-C40C66FF867C}">
                  <a14:compatExt spid="_x0000_s18106"/>
                </a:ext>
                <a:ext uri="{FF2B5EF4-FFF2-40B4-BE49-F238E27FC236}">
                  <a16:creationId xmlns:a16="http://schemas.microsoft.com/office/drawing/2014/main" xmlns="" id="{00000000-0008-0000-0200-0000BA4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SOCIETY AS PROVIDER  (Sector 4)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30</xdr:row>
          <xdr:rowOff>76200</xdr:rowOff>
        </xdr:from>
        <xdr:to>
          <xdr:col>5</xdr:col>
          <xdr:colOff>390525</xdr:colOff>
          <xdr:row>31</xdr:row>
          <xdr:rowOff>85725</xdr:rowOff>
        </xdr:to>
        <xdr:sp macro="" textlink="">
          <xdr:nvSpPr>
            <xdr:cNvPr id="18107" name="Check Box 3771" hidden="1">
              <a:extLst>
                <a:ext uri="{63B3BB69-23CF-44E3-9099-C40C66FF867C}">
                  <a14:compatExt spid="_x0000_s18107"/>
                </a:ext>
                <a:ext uri="{FF2B5EF4-FFF2-40B4-BE49-F238E27FC236}">
                  <a16:creationId xmlns:a16="http://schemas.microsoft.com/office/drawing/2014/main" xmlns="" id="{00000000-0008-0000-0200-0000BB4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Indicator K41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85725</xdr:colOff>
          <xdr:row>31</xdr:row>
          <xdr:rowOff>95250</xdr:rowOff>
        </xdr:from>
        <xdr:to>
          <xdr:col>5</xdr:col>
          <xdr:colOff>276225</xdr:colOff>
          <xdr:row>32</xdr:row>
          <xdr:rowOff>104775</xdr:rowOff>
        </xdr:to>
        <xdr:sp macro="" textlink="">
          <xdr:nvSpPr>
            <xdr:cNvPr id="18108" name="Check Box 3772" hidden="1">
              <a:extLst>
                <a:ext uri="{63B3BB69-23CF-44E3-9099-C40C66FF867C}">
                  <a14:compatExt spid="_x0000_s18108"/>
                </a:ext>
                <a:ext uri="{FF2B5EF4-FFF2-40B4-BE49-F238E27FC236}">
                  <a16:creationId xmlns:a16="http://schemas.microsoft.com/office/drawing/2014/main" xmlns="" id="{00000000-0008-0000-0200-0000BC4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Indicator K42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676275</xdr:colOff>
          <xdr:row>32</xdr:row>
          <xdr:rowOff>123825</xdr:rowOff>
        </xdr:from>
        <xdr:to>
          <xdr:col>6</xdr:col>
          <xdr:colOff>38100</xdr:colOff>
          <xdr:row>33</xdr:row>
          <xdr:rowOff>180975</xdr:rowOff>
        </xdr:to>
        <xdr:sp macro="" textlink="">
          <xdr:nvSpPr>
            <xdr:cNvPr id="18109" name="Check Box 3773" hidden="1">
              <a:extLst>
                <a:ext uri="{63B3BB69-23CF-44E3-9099-C40C66FF867C}">
                  <a14:compatExt spid="_x0000_s18109"/>
                </a:ext>
                <a:ext uri="{FF2B5EF4-FFF2-40B4-BE49-F238E27FC236}">
                  <a16:creationId xmlns:a16="http://schemas.microsoft.com/office/drawing/2014/main" xmlns="" id="{00000000-0008-0000-0200-0000BD4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SOCIETY AS RECEIVER (Sector 5)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36</xdr:row>
          <xdr:rowOff>47625</xdr:rowOff>
        </xdr:from>
        <xdr:to>
          <xdr:col>6</xdr:col>
          <xdr:colOff>180975</xdr:colOff>
          <xdr:row>37</xdr:row>
          <xdr:rowOff>85725</xdr:rowOff>
        </xdr:to>
        <xdr:sp macro="" textlink="">
          <xdr:nvSpPr>
            <xdr:cNvPr id="18286" name="Check Box 3950" descr="Indicador K52" hidden="1">
              <a:extLst>
                <a:ext uri="{63B3BB69-23CF-44E3-9099-C40C66FF867C}">
                  <a14:compatExt spid="_x0000_s18286"/>
                </a:ext>
                <a:ext uri="{FF2B5EF4-FFF2-40B4-BE49-F238E27FC236}">
                  <a16:creationId xmlns:a16="http://schemas.microsoft.com/office/drawing/2014/main" xmlns="" id="{00000000-0008-0000-0200-00006E4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SELECT ALL INDICATORS</a:t>
              </a:r>
            </a:p>
          </xdr:txBody>
        </xdr:sp>
        <xdr:clientData/>
      </xdr:twoCellAnchor>
    </mc:Choice>
    <mc:Fallback/>
  </mc:AlternateContent>
  <xdr:twoCellAnchor>
    <xdr:from>
      <xdr:col>15</xdr:col>
      <xdr:colOff>525862</xdr:colOff>
      <xdr:row>22</xdr:row>
      <xdr:rowOff>1594</xdr:rowOff>
    </xdr:from>
    <xdr:to>
      <xdr:col>36</xdr:col>
      <xdr:colOff>246572</xdr:colOff>
      <xdr:row>54</xdr:row>
      <xdr:rowOff>82934</xdr:rowOff>
    </xdr:to>
    <xdr:graphicFrame macro="">
      <xdr:nvGraphicFramePr>
        <xdr:cNvPr id="57784" name="44 Gráfico">
          <a:extLst>
            <a:ext uri="{FF2B5EF4-FFF2-40B4-BE49-F238E27FC236}">
              <a16:creationId xmlns:a16="http://schemas.microsoft.com/office/drawing/2014/main" xmlns="" id="{00000000-0008-0000-0200-0000B8E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33</xdr:col>
      <xdr:colOff>309940</xdr:colOff>
      <xdr:row>22</xdr:row>
      <xdr:rowOff>3626</xdr:rowOff>
    </xdr:from>
    <xdr:to>
      <xdr:col>47</xdr:col>
      <xdr:colOff>54428</xdr:colOff>
      <xdr:row>54</xdr:row>
      <xdr:rowOff>92727</xdr:rowOff>
    </xdr:to>
    <xdr:graphicFrame macro="">
      <xdr:nvGraphicFramePr>
        <xdr:cNvPr id="57787" name="47 Gráfico">
          <a:extLst>
            <a:ext uri="{FF2B5EF4-FFF2-40B4-BE49-F238E27FC236}">
              <a16:creationId xmlns:a16="http://schemas.microsoft.com/office/drawing/2014/main" xmlns="" id="{00000000-0008-0000-0200-0000BBE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twoCellAnchor>
  <xdr:twoCellAnchor>
    <xdr:from>
      <xdr:col>47</xdr:col>
      <xdr:colOff>16338</xdr:colOff>
      <xdr:row>0</xdr:row>
      <xdr:rowOff>13607</xdr:rowOff>
    </xdr:from>
    <xdr:to>
      <xdr:col>73</xdr:col>
      <xdr:colOff>447747</xdr:colOff>
      <xdr:row>61</xdr:row>
      <xdr:rowOff>126595</xdr:rowOff>
    </xdr:to>
    <xdr:graphicFrame macro="">
      <xdr:nvGraphicFramePr>
        <xdr:cNvPr id="57793" name="8 Gráfico">
          <a:extLst>
            <a:ext uri="{FF2B5EF4-FFF2-40B4-BE49-F238E27FC236}">
              <a16:creationId xmlns:a16="http://schemas.microsoft.com/office/drawing/2014/main" xmlns="" id="{00000000-0008-0000-0200-0000C1E1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</xdr:col>
      <xdr:colOff>851645</xdr:colOff>
      <xdr:row>8</xdr:row>
      <xdr:rowOff>104856</xdr:rowOff>
    </xdr:from>
    <xdr:to>
      <xdr:col>14</xdr:col>
      <xdr:colOff>570224</xdr:colOff>
      <xdr:row>10</xdr:row>
      <xdr:rowOff>38641</xdr:rowOff>
    </xdr:to>
    <xdr:sp macro="" textlink="">
      <xdr:nvSpPr>
        <xdr:cNvPr id="96" name="AutoShape 8">
          <a:extLst>
            <a:ext uri="{FF2B5EF4-FFF2-40B4-BE49-F238E27FC236}">
              <a16:creationId xmlns:a16="http://schemas.microsoft.com/office/drawing/2014/main" xmlns="" id="{00000000-0008-0000-0200-000060000000}"/>
            </a:ext>
          </a:extLst>
        </xdr:cNvPr>
        <xdr:cNvSpPr>
          <a:spLocks noChangeArrowheads="1"/>
        </xdr:cNvSpPr>
      </xdr:nvSpPr>
      <xdr:spPr bwMode="auto">
        <a:xfrm>
          <a:off x="7976345" y="1771731"/>
          <a:ext cx="632979" cy="352885"/>
        </a:xfrm>
        <a:prstGeom prst="flowChartAlternateProcess">
          <a:avLst/>
        </a:prstGeom>
        <a:solidFill>
          <a:srgbClr val="CC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36576" tIns="32004" rIns="0" bIns="0" anchor="ctr" upright="1"/>
        <a:lstStyle/>
        <a:p>
          <a:pPr algn="l" rtl="0">
            <a:defRPr sz="1000"/>
          </a:pPr>
          <a:r>
            <a:rPr lang="pt-BR" sz="1200" b="0" i="0" u="none" strike="noStrike" baseline="0">
              <a:solidFill>
                <a:srgbClr val="FF0000"/>
              </a:solidFill>
              <a:latin typeface="Calibri"/>
            </a:rPr>
            <a:t>CAERN</a:t>
          </a:r>
        </a:p>
      </xdr:txBody>
    </xdr:sp>
    <xdr:clientData/>
  </xdr:twoCellAnchor>
  <xdr:twoCellAnchor editAs="oneCell">
    <xdr:from>
      <xdr:col>11</xdr:col>
      <xdr:colOff>259174</xdr:colOff>
      <xdr:row>27</xdr:row>
      <xdr:rowOff>193765</xdr:rowOff>
    </xdr:from>
    <xdr:to>
      <xdr:col>12</xdr:col>
      <xdr:colOff>81574</xdr:colOff>
      <xdr:row>30</xdr:row>
      <xdr:rowOff>25691</xdr:rowOff>
    </xdr:to>
    <xdr:sp macro="" textlink="" fLocksText="0">
      <xdr:nvSpPr>
        <xdr:cNvPr id="97" name="Oval 9">
          <a:extLst>
            <a:ext uri="{FF2B5EF4-FFF2-40B4-BE49-F238E27FC236}">
              <a16:creationId xmlns:a16="http://schemas.microsoft.com/office/drawing/2014/main" xmlns="" id="{00000000-0008-0000-0200-000061000000}"/>
            </a:ext>
          </a:extLst>
        </xdr:cNvPr>
        <xdr:cNvSpPr>
          <a:spLocks noChangeArrowheads="1"/>
        </xdr:cNvSpPr>
      </xdr:nvSpPr>
      <xdr:spPr bwMode="auto">
        <a:xfrm>
          <a:off x="6774274" y="5765890"/>
          <a:ext cx="432000" cy="432001"/>
        </a:xfrm>
        <a:prstGeom prst="ellipse">
          <a:avLst/>
        </a:prstGeom>
        <a:solidFill>
          <a:srgbClr val="00FF00"/>
        </a:solidFill>
        <a:ln w="12700">
          <a:noFill/>
          <a:round/>
          <a:headEnd/>
          <a:tailEnd/>
        </a:ln>
        <a:effectLst/>
      </xdr:spPr>
      <xdr:txBody>
        <a:bodyPr vertOverflow="clip" wrap="square" lIns="36576" tIns="32004" rIns="36576" bIns="0" anchor="ctr" upright="1"/>
        <a:lstStyle/>
        <a:p>
          <a:pPr algn="ctr" rtl="0">
            <a:defRPr sz="1000"/>
          </a:pPr>
          <a:r>
            <a:rPr lang="es-ES" sz="1400" b="1" i="0" u="none" strike="noStrike" baseline="0">
              <a:solidFill>
                <a:srgbClr val="FFFF00"/>
              </a:solidFill>
              <a:latin typeface="Calibri"/>
              <a:cs typeface="Calibri"/>
            </a:rPr>
            <a:t>11</a:t>
          </a:r>
        </a:p>
      </xdr:txBody>
    </xdr:sp>
    <xdr:clientData/>
  </xdr:twoCellAnchor>
  <xdr:twoCellAnchor>
    <xdr:from>
      <xdr:col>10</xdr:col>
      <xdr:colOff>295275</xdr:colOff>
      <xdr:row>28</xdr:row>
      <xdr:rowOff>60802</xdr:rowOff>
    </xdr:from>
    <xdr:to>
      <xdr:col>11</xdr:col>
      <xdr:colOff>257621</xdr:colOff>
      <xdr:row>30</xdr:row>
      <xdr:rowOff>13638</xdr:rowOff>
    </xdr:to>
    <xdr:sp macro="" textlink="">
      <xdr:nvSpPr>
        <xdr:cNvPr id="99" name="AutoShape 15">
          <a:extLst>
            <a:ext uri="{FF2B5EF4-FFF2-40B4-BE49-F238E27FC236}">
              <a16:creationId xmlns:a16="http://schemas.microsoft.com/office/drawing/2014/main" xmlns="" id="{00000000-0008-0000-0200-000063000000}"/>
            </a:ext>
          </a:extLst>
        </xdr:cNvPr>
        <xdr:cNvSpPr>
          <a:spLocks noChangeArrowheads="1"/>
        </xdr:cNvSpPr>
      </xdr:nvSpPr>
      <xdr:spPr bwMode="auto">
        <a:xfrm>
          <a:off x="6200775" y="5832952"/>
          <a:ext cx="571946" cy="352886"/>
        </a:xfrm>
        <a:prstGeom prst="flowChartAlternateProcess">
          <a:avLst/>
        </a:prstGeom>
        <a:solidFill>
          <a:srgbClr val="CC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0" bIns="0" anchor="ctr" upright="1"/>
        <a:lstStyle/>
        <a:p>
          <a:pPr algn="l" rtl="0">
            <a:defRPr sz="1000"/>
          </a:pPr>
          <a:r>
            <a:rPr lang="pt-BR" sz="1200" b="0" i="0" u="none" strike="noStrike" baseline="0">
              <a:solidFill>
                <a:srgbClr val="FF0000"/>
              </a:solidFill>
              <a:latin typeface="+mn-lt"/>
            </a:rPr>
            <a:t>CEDAE</a:t>
          </a:r>
        </a:p>
      </xdr:txBody>
    </xdr:sp>
    <xdr:clientData/>
  </xdr:twoCellAnchor>
  <xdr:twoCellAnchor editAs="oneCell">
    <xdr:from>
      <xdr:col>10</xdr:col>
      <xdr:colOff>222655</xdr:colOff>
      <xdr:row>7</xdr:row>
      <xdr:rowOff>99061</xdr:rowOff>
    </xdr:from>
    <xdr:to>
      <xdr:col>11</xdr:col>
      <xdr:colOff>49537</xdr:colOff>
      <xdr:row>9</xdr:row>
      <xdr:rowOff>102436</xdr:rowOff>
    </xdr:to>
    <xdr:sp macro="" textlink="" fLocksText="0">
      <xdr:nvSpPr>
        <xdr:cNvPr id="100" name="Oval 2">
          <a:extLst>
            <a:ext uri="{FF2B5EF4-FFF2-40B4-BE49-F238E27FC236}">
              <a16:creationId xmlns:a16="http://schemas.microsoft.com/office/drawing/2014/main" xmlns="" id="{00000000-0008-0000-0200-000064000000}"/>
            </a:ext>
          </a:extLst>
        </xdr:cNvPr>
        <xdr:cNvSpPr>
          <a:spLocks noChangeArrowheads="1"/>
        </xdr:cNvSpPr>
      </xdr:nvSpPr>
      <xdr:spPr bwMode="auto">
        <a:xfrm>
          <a:off x="6094537" y="1578237"/>
          <a:ext cx="432000" cy="429199"/>
        </a:xfrm>
        <a:prstGeom prst="ellipse">
          <a:avLst/>
        </a:prstGeom>
        <a:solidFill>
          <a:srgbClr val="00FF00"/>
        </a:solidFill>
        <a:ln w="12700">
          <a:noFill/>
          <a:round/>
          <a:headEnd/>
          <a:tailEnd/>
        </a:ln>
        <a:effectLst/>
      </xdr:spPr>
      <xdr:txBody>
        <a:bodyPr vertOverflow="clip" wrap="square" lIns="36576" tIns="32004" rIns="36576" bIns="0" anchor="ctr" upright="1"/>
        <a:lstStyle/>
        <a:p>
          <a:pPr algn="ctr" rtl="0">
            <a:defRPr sz="1000"/>
          </a:pPr>
          <a:r>
            <a:rPr lang="es-ES" sz="1400" b="1" i="0" u="none" strike="noStrike" baseline="0">
              <a:solidFill>
                <a:srgbClr val="FFFF00"/>
              </a:solidFill>
              <a:latin typeface="Calibri"/>
              <a:cs typeface="Calibri"/>
            </a:rPr>
            <a:t>17</a:t>
          </a:r>
        </a:p>
      </xdr:txBody>
    </xdr:sp>
    <xdr:clientData/>
  </xdr:twoCellAnchor>
  <xdr:twoCellAnchor>
    <xdr:from>
      <xdr:col>9</xdr:col>
      <xdr:colOff>441513</xdr:colOff>
      <xdr:row>11</xdr:row>
      <xdr:rowOff>122487</xdr:rowOff>
    </xdr:from>
    <xdr:to>
      <xdr:col>10</xdr:col>
      <xdr:colOff>582511</xdr:colOff>
      <xdr:row>13</xdr:row>
      <xdr:rowOff>42987</xdr:rowOff>
    </xdr:to>
    <xdr:sp macro="" textlink="">
      <xdr:nvSpPr>
        <xdr:cNvPr id="101" name="AutoShape 17">
          <a:extLst>
            <a:ext uri="{FF2B5EF4-FFF2-40B4-BE49-F238E27FC236}">
              <a16:creationId xmlns:a16="http://schemas.microsoft.com/office/drawing/2014/main" xmlns="" id="{00000000-0008-0000-0200-000065000000}"/>
            </a:ext>
          </a:extLst>
        </xdr:cNvPr>
        <xdr:cNvSpPr>
          <a:spLocks noChangeArrowheads="1"/>
        </xdr:cNvSpPr>
      </xdr:nvSpPr>
      <xdr:spPr bwMode="auto">
        <a:xfrm>
          <a:off x="5737413" y="2418012"/>
          <a:ext cx="750598" cy="349125"/>
        </a:xfrm>
        <a:prstGeom prst="flowChartAlternateProcess">
          <a:avLst/>
        </a:prstGeom>
        <a:solidFill>
          <a:srgbClr val="CC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0" bIns="0" anchor="ctr" upright="1"/>
        <a:lstStyle/>
        <a:p>
          <a:pPr algn="l" rtl="0">
            <a:defRPr sz="1000"/>
          </a:pPr>
          <a:r>
            <a:rPr lang="pt-BR" sz="1200" b="0" i="0" u="none" strike="noStrike" baseline="0">
              <a:solidFill>
                <a:srgbClr val="FF0000"/>
              </a:solidFill>
              <a:latin typeface="+mn-lt"/>
            </a:rPr>
            <a:t>AGESPISA</a:t>
          </a:r>
        </a:p>
      </xdr:txBody>
    </xdr:sp>
    <xdr:clientData/>
  </xdr:twoCellAnchor>
  <xdr:twoCellAnchor editAs="oneCell">
    <xdr:from>
      <xdr:col>14</xdr:col>
      <xdr:colOff>576327</xdr:colOff>
      <xdr:row>8</xdr:row>
      <xdr:rowOff>60767</xdr:rowOff>
    </xdr:from>
    <xdr:to>
      <xdr:col>15</xdr:col>
      <xdr:colOff>398727</xdr:colOff>
      <xdr:row>10</xdr:row>
      <xdr:rowOff>73666</xdr:rowOff>
    </xdr:to>
    <xdr:sp macro="" textlink="" fLocksText="0">
      <xdr:nvSpPr>
        <xdr:cNvPr id="102" name="Oval 3">
          <a:extLst>
            <a:ext uri="{FF2B5EF4-FFF2-40B4-BE49-F238E27FC236}">
              <a16:creationId xmlns:a16="http://schemas.microsoft.com/office/drawing/2014/main" xmlns="" id="{00000000-0008-0000-0200-000066000000}"/>
            </a:ext>
          </a:extLst>
        </xdr:cNvPr>
        <xdr:cNvSpPr>
          <a:spLocks noChangeArrowheads="1"/>
        </xdr:cNvSpPr>
      </xdr:nvSpPr>
      <xdr:spPr bwMode="auto">
        <a:xfrm>
          <a:off x="8615427" y="1727642"/>
          <a:ext cx="432000" cy="431999"/>
        </a:xfrm>
        <a:prstGeom prst="ellipse">
          <a:avLst/>
        </a:prstGeom>
        <a:solidFill>
          <a:srgbClr val="00FF00"/>
        </a:solidFill>
        <a:ln w="12700">
          <a:noFill/>
          <a:round/>
          <a:headEnd/>
          <a:tailEnd/>
        </a:ln>
        <a:effectLst/>
      </xdr:spPr>
      <xdr:txBody>
        <a:bodyPr vertOverflow="clip" wrap="square" lIns="36576" tIns="32004" rIns="36576" bIns="0" anchor="ctr" upright="1"/>
        <a:lstStyle/>
        <a:p>
          <a:pPr algn="ctr" rtl="0">
            <a:defRPr sz="1000"/>
          </a:pPr>
          <a:r>
            <a:rPr lang="es-ES" sz="1400" b="1" i="0" u="none" strike="noStrike" baseline="0">
              <a:solidFill>
                <a:srgbClr val="FFFF00"/>
              </a:solidFill>
              <a:latin typeface="Calibri"/>
              <a:cs typeface="Calibri"/>
            </a:rPr>
            <a:t>15</a:t>
          </a:r>
        </a:p>
      </xdr:txBody>
    </xdr:sp>
    <xdr:clientData/>
  </xdr:twoCellAnchor>
  <xdr:twoCellAnchor>
    <xdr:from>
      <xdr:col>9</xdr:col>
      <xdr:colOff>371475</xdr:colOff>
      <xdr:row>24</xdr:row>
      <xdr:rowOff>43477</xdr:rowOff>
    </xdr:from>
    <xdr:to>
      <xdr:col>10</xdr:col>
      <xdr:colOff>360122</xdr:colOff>
      <xdr:row>25</xdr:row>
      <xdr:rowOff>199701</xdr:rowOff>
    </xdr:to>
    <xdr:sp macro="" textlink="">
      <xdr:nvSpPr>
        <xdr:cNvPr id="103" name="AutoShape 19">
          <a:extLst>
            <a:ext uri="{FF2B5EF4-FFF2-40B4-BE49-F238E27FC236}">
              <a16:creationId xmlns:a16="http://schemas.microsoft.com/office/drawing/2014/main" xmlns="" id="{00000000-0008-0000-0200-000067000000}"/>
            </a:ext>
          </a:extLst>
        </xdr:cNvPr>
        <xdr:cNvSpPr>
          <a:spLocks noChangeArrowheads="1"/>
        </xdr:cNvSpPr>
      </xdr:nvSpPr>
      <xdr:spPr bwMode="auto">
        <a:xfrm>
          <a:off x="5667375" y="4215427"/>
          <a:ext cx="598247" cy="356249"/>
        </a:xfrm>
        <a:prstGeom prst="flowChartAlternateProcess">
          <a:avLst/>
        </a:prstGeom>
        <a:solidFill>
          <a:srgbClr val="CC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0" anchor="ctr" upright="1"/>
        <a:lstStyle/>
        <a:p>
          <a:pPr algn="l" rtl="0">
            <a:defRPr sz="1000"/>
          </a:pPr>
          <a:r>
            <a:rPr lang="es-ES" sz="1200" b="0" i="0" u="none" strike="noStrike" baseline="0">
              <a:solidFill>
                <a:srgbClr val="FF0000"/>
              </a:solidFill>
              <a:latin typeface="Calibri"/>
              <a:cs typeface="Calibri"/>
            </a:rPr>
            <a:t>COPASA</a:t>
          </a:r>
        </a:p>
      </xdr:txBody>
    </xdr:sp>
    <xdr:clientData/>
  </xdr:twoCellAnchor>
  <xdr:twoCellAnchor editAs="oneCell">
    <xdr:from>
      <xdr:col>10</xdr:col>
      <xdr:colOff>56135</xdr:colOff>
      <xdr:row>17</xdr:row>
      <xdr:rowOff>62529</xdr:rowOff>
    </xdr:from>
    <xdr:to>
      <xdr:col>10</xdr:col>
      <xdr:colOff>483653</xdr:colOff>
      <xdr:row>19</xdr:row>
      <xdr:rowOff>86635</xdr:rowOff>
    </xdr:to>
    <xdr:sp macro="" textlink="" fLocksText="0">
      <xdr:nvSpPr>
        <xdr:cNvPr id="104" name="Oval 4">
          <a:extLst>
            <a:ext uri="{FF2B5EF4-FFF2-40B4-BE49-F238E27FC236}">
              <a16:creationId xmlns:a16="http://schemas.microsoft.com/office/drawing/2014/main" xmlns="" id="{00000000-0008-0000-0200-000068000000}"/>
            </a:ext>
          </a:extLst>
        </xdr:cNvPr>
        <xdr:cNvSpPr>
          <a:spLocks noChangeArrowheads="1"/>
        </xdr:cNvSpPr>
      </xdr:nvSpPr>
      <xdr:spPr bwMode="auto">
        <a:xfrm>
          <a:off x="5928017" y="3682029"/>
          <a:ext cx="427518" cy="438724"/>
        </a:xfrm>
        <a:prstGeom prst="ellipse">
          <a:avLst/>
        </a:prstGeom>
        <a:solidFill>
          <a:srgbClr val="00FF00"/>
        </a:solidFill>
        <a:ln w="12700">
          <a:noFill/>
          <a:round/>
          <a:headEnd/>
          <a:tailEnd/>
        </a:ln>
        <a:effectLst/>
      </xdr:spPr>
      <xdr:txBody>
        <a:bodyPr vertOverflow="clip" wrap="square" lIns="36576" tIns="32004" rIns="36576" bIns="0" anchor="ctr" upright="1"/>
        <a:lstStyle/>
        <a:p>
          <a:pPr algn="ctr" rtl="0">
            <a:defRPr sz="1000"/>
          </a:pPr>
          <a:r>
            <a:rPr lang="es-ES" sz="1400" b="1" i="0" u="none" strike="noStrike" baseline="0">
              <a:solidFill>
                <a:srgbClr val="FFFF00"/>
              </a:solidFill>
              <a:latin typeface="Calibri"/>
              <a:cs typeface="Calibri"/>
            </a:rPr>
            <a:t>8</a:t>
          </a:r>
        </a:p>
      </xdr:txBody>
    </xdr:sp>
    <xdr:clientData/>
  </xdr:twoCellAnchor>
  <xdr:twoCellAnchor>
    <xdr:from>
      <xdr:col>12</xdr:col>
      <xdr:colOff>297757</xdr:colOff>
      <xdr:row>12</xdr:row>
      <xdr:rowOff>95850</xdr:rowOff>
    </xdr:from>
    <xdr:to>
      <xdr:col>14</xdr:col>
      <xdr:colOff>178161</xdr:colOff>
      <xdr:row>14</xdr:row>
      <xdr:rowOff>32997</xdr:rowOff>
    </xdr:to>
    <xdr:sp macro="" textlink="">
      <xdr:nvSpPr>
        <xdr:cNvPr id="105" name="AutoShape 21">
          <a:extLst>
            <a:ext uri="{FF2B5EF4-FFF2-40B4-BE49-F238E27FC236}">
              <a16:creationId xmlns:a16="http://schemas.microsoft.com/office/drawing/2014/main" xmlns="" id="{00000000-0008-0000-0200-000069000000}"/>
            </a:ext>
          </a:extLst>
        </xdr:cNvPr>
        <xdr:cNvSpPr>
          <a:spLocks noChangeArrowheads="1"/>
        </xdr:cNvSpPr>
      </xdr:nvSpPr>
      <xdr:spPr bwMode="auto">
        <a:xfrm>
          <a:off x="7422457" y="2610450"/>
          <a:ext cx="794804" cy="356247"/>
        </a:xfrm>
        <a:prstGeom prst="flowChartAlternateProcess">
          <a:avLst/>
        </a:prstGeom>
        <a:solidFill>
          <a:srgbClr val="CC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0" bIns="0" anchor="ctr" upright="1"/>
        <a:lstStyle/>
        <a:p>
          <a:pPr algn="l" rtl="0">
            <a:defRPr sz="1000"/>
          </a:pPr>
          <a:r>
            <a:rPr lang="pt-BR" sz="1200" b="0" i="0" u="none" strike="noStrike" baseline="0">
              <a:solidFill>
                <a:srgbClr val="FF0000"/>
              </a:solidFill>
              <a:latin typeface="+mn-lt"/>
            </a:rPr>
            <a:t>COMPESA</a:t>
          </a:r>
        </a:p>
      </xdr:txBody>
    </xdr:sp>
    <xdr:clientData/>
  </xdr:twoCellAnchor>
  <xdr:twoCellAnchor>
    <xdr:from>
      <xdr:col>12</xdr:col>
      <xdr:colOff>289673</xdr:colOff>
      <xdr:row>6</xdr:row>
      <xdr:rowOff>185858</xdr:rowOff>
    </xdr:from>
    <xdr:to>
      <xdr:col>12</xdr:col>
      <xdr:colOff>721673</xdr:colOff>
      <xdr:row>8</xdr:row>
      <xdr:rowOff>197077</xdr:rowOff>
    </xdr:to>
    <xdr:sp macro="" textlink="" fLocksText="0">
      <xdr:nvSpPr>
        <xdr:cNvPr id="106" name="Oval 5">
          <a:extLst>
            <a:ext uri="{FF2B5EF4-FFF2-40B4-BE49-F238E27FC236}">
              <a16:creationId xmlns:a16="http://schemas.microsoft.com/office/drawing/2014/main" xmlns="" id="{00000000-0008-0000-0200-00006A000000}"/>
            </a:ext>
          </a:extLst>
        </xdr:cNvPr>
        <xdr:cNvSpPr>
          <a:spLocks noChangeArrowheads="1"/>
        </xdr:cNvSpPr>
      </xdr:nvSpPr>
      <xdr:spPr bwMode="auto">
        <a:xfrm>
          <a:off x="7414373" y="1433633"/>
          <a:ext cx="432000" cy="430319"/>
        </a:xfrm>
        <a:prstGeom prst="ellipse">
          <a:avLst/>
        </a:prstGeom>
        <a:solidFill>
          <a:srgbClr val="FF0000"/>
        </a:solidFill>
        <a:ln w="12700">
          <a:noFill/>
          <a:round/>
          <a:headEnd/>
          <a:tailEnd/>
        </a:ln>
        <a:effectLst/>
      </xdr:spPr>
      <xdr:txBody>
        <a:bodyPr vertOverflow="clip" wrap="square" lIns="36576" tIns="32004" rIns="36576" bIns="0" anchor="ctr" upright="1"/>
        <a:lstStyle/>
        <a:p>
          <a:pPr algn="ctr" rtl="0">
            <a:defRPr sz="1000"/>
          </a:pPr>
          <a:r>
            <a:rPr lang="es-ES" sz="1400" b="1" i="0" u="none" strike="noStrike" baseline="0">
              <a:solidFill>
                <a:srgbClr val="FFFF00"/>
              </a:solidFill>
              <a:latin typeface="Calibri"/>
              <a:cs typeface="Calibri"/>
            </a:rPr>
            <a:t>19</a:t>
          </a:r>
        </a:p>
      </xdr:txBody>
    </xdr:sp>
    <xdr:clientData/>
  </xdr:twoCellAnchor>
  <xdr:twoCellAnchor>
    <xdr:from>
      <xdr:col>10</xdr:col>
      <xdr:colOff>303519</xdr:colOff>
      <xdr:row>13</xdr:row>
      <xdr:rowOff>125298</xdr:rowOff>
    </xdr:from>
    <xdr:to>
      <xdr:col>11</xdr:col>
      <xdr:colOff>371360</xdr:colOff>
      <xdr:row>15</xdr:row>
      <xdr:rowOff>50280</xdr:rowOff>
    </xdr:to>
    <xdr:sp macro="" textlink="">
      <xdr:nvSpPr>
        <xdr:cNvPr id="107" name="AutoShape 23">
          <a:extLst>
            <a:ext uri="{FF2B5EF4-FFF2-40B4-BE49-F238E27FC236}">
              <a16:creationId xmlns:a16="http://schemas.microsoft.com/office/drawing/2014/main" xmlns="" id="{00000000-0008-0000-0200-00006B000000}"/>
            </a:ext>
          </a:extLst>
        </xdr:cNvPr>
        <xdr:cNvSpPr>
          <a:spLocks noChangeArrowheads="1"/>
        </xdr:cNvSpPr>
      </xdr:nvSpPr>
      <xdr:spPr bwMode="auto">
        <a:xfrm>
          <a:off x="6209019" y="2849448"/>
          <a:ext cx="677441" cy="344082"/>
        </a:xfrm>
        <a:prstGeom prst="flowChartAlternateProcess">
          <a:avLst/>
        </a:prstGeom>
        <a:solidFill>
          <a:srgbClr val="CC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0" bIns="0" anchor="ctr" upright="1"/>
        <a:lstStyle/>
        <a:p>
          <a:pPr algn="l" rtl="0">
            <a:defRPr sz="1000"/>
          </a:pPr>
          <a:r>
            <a:rPr lang="pt-BR" sz="1200" b="0" i="0" u="none" strike="noStrike" baseline="0">
              <a:solidFill>
                <a:srgbClr val="FF0000"/>
              </a:solidFill>
              <a:latin typeface="Calibri"/>
            </a:rPr>
            <a:t>EMBASA</a:t>
          </a:r>
        </a:p>
      </xdr:txBody>
    </xdr:sp>
    <xdr:clientData/>
  </xdr:twoCellAnchor>
  <xdr:twoCellAnchor editAs="oneCell">
    <xdr:from>
      <xdr:col>14</xdr:col>
      <xdr:colOff>220208</xdr:colOff>
      <xdr:row>10</xdr:row>
      <xdr:rowOff>43815</xdr:rowOff>
    </xdr:from>
    <xdr:to>
      <xdr:col>15</xdr:col>
      <xdr:colOff>51573</xdr:colOff>
      <xdr:row>12</xdr:row>
      <xdr:rowOff>58396</xdr:rowOff>
    </xdr:to>
    <xdr:sp macro="" textlink="" fLocksText="0">
      <xdr:nvSpPr>
        <xdr:cNvPr id="108" name="Oval 6">
          <a:extLst>
            <a:ext uri="{FF2B5EF4-FFF2-40B4-BE49-F238E27FC236}">
              <a16:creationId xmlns:a16="http://schemas.microsoft.com/office/drawing/2014/main" xmlns="" id="{00000000-0008-0000-0200-00006C000000}"/>
            </a:ext>
          </a:extLst>
        </xdr:cNvPr>
        <xdr:cNvSpPr>
          <a:spLocks noChangeArrowheads="1"/>
        </xdr:cNvSpPr>
      </xdr:nvSpPr>
      <xdr:spPr bwMode="auto">
        <a:xfrm>
          <a:off x="8259308" y="2129790"/>
          <a:ext cx="440965" cy="432000"/>
        </a:xfrm>
        <a:prstGeom prst="ellipse">
          <a:avLst/>
        </a:prstGeom>
        <a:solidFill>
          <a:srgbClr val="00FF00"/>
        </a:solidFill>
        <a:ln w="12700">
          <a:noFill/>
          <a:round/>
          <a:headEnd/>
          <a:tailEnd/>
        </a:ln>
        <a:effectLst/>
      </xdr:spPr>
      <xdr:txBody>
        <a:bodyPr vertOverflow="clip" wrap="square" lIns="36576" tIns="32004" rIns="36576" bIns="0" anchor="ctr" upright="1"/>
        <a:lstStyle/>
        <a:p>
          <a:pPr algn="ctr" rtl="0">
            <a:defRPr sz="1000"/>
          </a:pPr>
          <a:r>
            <a:rPr lang="es-ES" sz="1400" b="1" i="0" u="none" strike="noStrike" baseline="0">
              <a:solidFill>
                <a:srgbClr val="FFFF00"/>
              </a:solidFill>
              <a:latin typeface="Calibri"/>
              <a:cs typeface="Calibri"/>
            </a:rPr>
            <a:t>7</a:t>
          </a:r>
        </a:p>
      </xdr:txBody>
    </xdr:sp>
    <xdr:clientData/>
  </xdr:twoCellAnchor>
  <xdr:twoCellAnchor editAs="oneCell">
    <xdr:from>
      <xdr:col>14</xdr:col>
      <xdr:colOff>64193</xdr:colOff>
      <xdr:row>14</xdr:row>
      <xdr:rowOff>55226</xdr:rowOff>
    </xdr:from>
    <xdr:to>
      <xdr:col>14</xdr:col>
      <xdr:colOff>499555</xdr:colOff>
      <xdr:row>16</xdr:row>
      <xdr:rowOff>68126</xdr:rowOff>
    </xdr:to>
    <xdr:sp macro="" textlink="" fLocksText="0">
      <xdr:nvSpPr>
        <xdr:cNvPr id="109" name="Oval 7">
          <a:extLst>
            <a:ext uri="{FF2B5EF4-FFF2-40B4-BE49-F238E27FC236}">
              <a16:creationId xmlns:a16="http://schemas.microsoft.com/office/drawing/2014/main" xmlns="" id="{00000000-0008-0000-0200-00006D000000}"/>
            </a:ext>
          </a:extLst>
        </xdr:cNvPr>
        <xdr:cNvSpPr>
          <a:spLocks noChangeArrowheads="1"/>
        </xdr:cNvSpPr>
      </xdr:nvSpPr>
      <xdr:spPr bwMode="auto">
        <a:xfrm>
          <a:off x="8131454" y="2954139"/>
          <a:ext cx="435362" cy="427030"/>
        </a:xfrm>
        <a:prstGeom prst="ellipse">
          <a:avLst/>
        </a:prstGeom>
        <a:solidFill>
          <a:srgbClr val="00FF00"/>
        </a:solidFill>
        <a:ln w="12700">
          <a:noFill/>
          <a:round/>
          <a:headEnd/>
          <a:tailEnd/>
        </a:ln>
        <a:effectLst/>
      </xdr:spPr>
      <xdr:txBody>
        <a:bodyPr vertOverflow="clip" wrap="square" lIns="36576" tIns="32004" rIns="36576" bIns="0" anchor="ctr" upright="1"/>
        <a:lstStyle/>
        <a:p>
          <a:pPr algn="ctr" rtl="0">
            <a:defRPr sz="1000"/>
          </a:pPr>
          <a:r>
            <a:rPr lang="es-ES" sz="1400" b="1" i="0" u="none" strike="noStrike" baseline="0">
              <a:solidFill>
                <a:srgbClr val="FFFF00"/>
              </a:solidFill>
              <a:latin typeface="Calibri"/>
              <a:cs typeface="Calibri"/>
            </a:rPr>
            <a:t>16</a:t>
          </a:r>
        </a:p>
      </xdr:txBody>
    </xdr:sp>
    <xdr:clientData/>
  </xdr:twoCellAnchor>
  <xdr:twoCellAnchor>
    <xdr:from>
      <xdr:col>7</xdr:col>
      <xdr:colOff>411691</xdr:colOff>
      <xdr:row>5</xdr:row>
      <xdr:rowOff>142554</xdr:rowOff>
    </xdr:from>
    <xdr:to>
      <xdr:col>8</xdr:col>
      <xdr:colOff>532882</xdr:colOff>
      <xdr:row>7</xdr:row>
      <xdr:rowOff>79701</xdr:rowOff>
    </xdr:to>
    <xdr:sp macro="" textlink="">
      <xdr:nvSpPr>
        <xdr:cNvPr id="110" name="AutoShape 27">
          <a:extLst>
            <a:ext uri="{FF2B5EF4-FFF2-40B4-BE49-F238E27FC236}">
              <a16:creationId xmlns:a16="http://schemas.microsoft.com/office/drawing/2014/main" xmlns="" id="{00000000-0008-0000-0200-00006E000000}"/>
            </a:ext>
          </a:extLst>
        </xdr:cNvPr>
        <xdr:cNvSpPr>
          <a:spLocks noChangeArrowheads="1"/>
        </xdr:cNvSpPr>
      </xdr:nvSpPr>
      <xdr:spPr bwMode="auto">
        <a:xfrm>
          <a:off x="4507441" y="1190304"/>
          <a:ext cx="735024" cy="360480"/>
        </a:xfrm>
        <a:prstGeom prst="flowChartAlternateProcess">
          <a:avLst/>
        </a:prstGeom>
        <a:solidFill>
          <a:srgbClr val="CC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0" bIns="0" anchor="ctr" upright="1"/>
        <a:lstStyle/>
        <a:p>
          <a:pPr algn="l" rtl="0">
            <a:defRPr sz="1000"/>
          </a:pPr>
          <a:r>
            <a:rPr lang="pt-BR" sz="1200" b="0" i="0" u="none" strike="noStrike" baseline="0">
              <a:solidFill>
                <a:srgbClr val="FF0000"/>
              </a:solidFill>
              <a:latin typeface="+mn-lt"/>
            </a:rPr>
            <a:t>COSANPA</a:t>
          </a:r>
        </a:p>
      </xdr:txBody>
    </xdr:sp>
    <xdr:clientData/>
  </xdr:twoCellAnchor>
  <xdr:twoCellAnchor editAs="oneCell">
    <xdr:from>
      <xdr:col>8</xdr:col>
      <xdr:colOff>526692</xdr:colOff>
      <xdr:row>31</xdr:row>
      <xdr:rowOff>123553</xdr:rowOff>
    </xdr:from>
    <xdr:to>
      <xdr:col>9</xdr:col>
      <xdr:colOff>349092</xdr:colOff>
      <xdr:row>33</xdr:row>
      <xdr:rowOff>155502</xdr:rowOff>
    </xdr:to>
    <xdr:sp macro="" textlink="" fLocksText="0">
      <xdr:nvSpPr>
        <xdr:cNvPr id="111" name="Oval 8">
          <a:extLst>
            <a:ext uri="{FF2B5EF4-FFF2-40B4-BE49-F238E27FC236}">
              <a16:creationId xmlns:a16="http://schemas.microsoft.com/office/drawing/2014/main" xmlns="" id="{00000000-0008-0000-0200-00006F000000}"/>
            </a:ext>
          </a:extLst>
        </xdr:cNvPr>
        <xdr:cNvSpPr>
          <a:spLocks noChangeArrowheads="1"/>
        </xdr:cNvSpPr>
      </xdr:nvSpPr>
      <xdr:spPr bwMode="auto">
        <a:xfrm>
          <a:off x="5212992" y="6495778"/>
          <a:ext cx="432000" cy="431999"/>
        </a:xfrm>
        <a:prstGeom prst="ellipse">
          <a:avLst/>
        </a:prstGeom>
        <a:solidFill>
          <a:srgbClr val="1C9D0B"/>
        </a:solidFill>
        <a:ln w="12700">
          <a:noFill/>
          <a:round/>
          <a:headEnd/>
          <a:tailEnd/>
        </a:ln>
        <a:effectLst/>
      </xdr:spPr>
      <xdr:txBody>
        <a:bodyPr vertOverflow="clip" wrap="square" lIns="36576" tIns="32004" rIns="36576" bIns="0" anchor="ctr" upright="1"/>
        <a:lstStyle/>
        <a:p>
          <a:pPr algn="ctr" rtl="0">
            <a:defRPr sz="1000"/>
          </a:pPr>
          <a:r>
            <a:rPr lang="es-ES" sz="1400" b="1" i="0" u="none" strike="noStrike" baseline="0">
              <a:solidFill>
                <a:srgbClr val="FFFF00"/>
              </a:solidFill>
              <a:latin typeface="Calibri"/>
              <a:cs typeface="Calibri"/>
            </a:rPr>
            <a:t>2</a:t>
          </a:r>
        </a:p>
      </xdr:txBody>
    </xdr:sp>
    <xdr:clientData/>
  </xdr:twoCellAnchor>
  <xdr:twoCellAnchor>
    <xdr:from>
      <xdr:col>9</xdr:col>
      <xdr:colOff>209550</xdr:colOff>
      <xdr:row>7</xdr:row>
      <xdr:rowOff>149250</xdr:rowOff>
    </xdr:from>
    <xdr:to>
      <xdr:col>10</xdr:col>
      <xdr:colOff>224864</xdr:colOff>
      <xdr:row>9</xdr:row>
      <xdr:rowOff>70868</xdr:rowOff>
    </xdr:to>
    <xdr:sp macro="" textlink="">
      <xdr:nvSpPr>
        <xdr:cNvPr id="112" name="AutoShape 29">
          <a:extLst>
            <a:ext uri="{FF2B5EF4-FFF2-40B4-BE49-F238E27FC236}">
              <a16:creationId xmlns:a16="http://schemas.microsoft.com/office/drawing/2014/main" xmlns="" id="{00000000-0008-0000-0200-000070000000}"/>
            </a:ext>
          </a:extLst>
        </xdr:cNvPr>
        <xdr:cNvSpPr>
          <a:spLocks noChangeArrowheads="1"/>
        </xdr:cNvSpPr>
      </xdr:nvSpPr>
      <xdr:spPr bwMode="auto">
        <a:xfrm>
          <a:off x="5476315" y="1628426"/>
          <a:ext cx="620431" cy="347442"/>
        </a:xfrm>
        <a:prstGeom prst="flowChartAlternateProcess">
          <a:avLst/>
        </a:prstGeom>
        <a:solidFill>
          <a:srgbClr val="CC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0" bIns="0" anchor="ctr" upright="1"/>
        <a:lstStyle/>
        <a:p>
          <a:pPr algn="l" rtl="0">
            <a:defRPr sz="1000"/>
          </a:pPr>
          <a:r>
            <a:rPr lang="pt-BR" sz="1200" b="0" i="0" u="none" strike="noStrike" baseline="0">
              <a:solidFill>
                <a:srgbClr val="FF0000"/>
              </a:solidFill>
              <a:latin typeface="+mn-lt"/>
            </a:rPr>
            <a:t>CAEMA</a:t>
          </a:r>
        </a:p>
      </xdr:txBody>
    </xdr:sp>
    <xdr:clientData/>
  </xdr:twoCellAnchor>
  <xdr:twoCellAnchor editAs="oneCell">
    <xdr:from>
      <xdr:col>12</xdr:col>
      <xdr:colOff>439349</xdr:colOff>
      <xdr:row>25</xdr:row>
      <xdr:rowOff>113756</xdr:rowOff>
    </xdr:from>
    <xdr:to>
      <xdr:col>12</xdr:col>
      <xdr:colOff>874711</xdr:colOff>
      <xdr:row>27</xdr:row>
      <xdr:rowOff>145705</xdr:rowOff>
    </xdr:to>
    <xdr:sp macro="" textlink="" fLocksText="0">
      <xdr:nvSpPr>
        <xdr:cNvPr id="113" name="Oval 10">
          <a:extLst>
            <a:ext uri="{FF2B5EF4-FFF2-40B4-BE49-F238E27FC236}">
              <a16:creationId xmlns:a16="http://schemas.microsoft.com/office/drawing/2014/main" xmlns="" id="{00000000-0008-0000-0200-000071000000}"/>
            </a:ext>
          </a:extLst>
        </xdr:cNvPr>
        <xdr:cNvSpPr>
          <a:spLocks noChangeArrowheads="1"/>
        </xdr:cNvSpPr>
      </xdr:nvSpPr>
      <xdr:spPr bwMode="auto">
        <a:xfrm>
          <a:off x="7564049" y="5285831"/>
          <a:ext cx="435362" cy="431999"/>
        </a:xfrm>
        <a:prstGeom prst="ellipse">
          <a:avLst/>
        </a:prstGeom>
        <a:solidFill>
          <a:srgbClr val="00FF00"/>
        </a:solidFill>
        <a:ln w="12700">
          <a:noFill/>
          <a:round/>
          <a:headEnd/>
          <a:tailEnd/>
        </a:ln>
        <a:effectLst/>
      </xdr:spPr>
      <xdr:txBody>
        <a:bodyPr vertOverflow="clip" wrap="square" lIns="36576" tIns="32004" rIns="36576" bIns="0" anchor="ctr" upright="1"/>
        <a:lstStyle/>
        <a:p>
          <a:pPr algn="ctr" rtl="0">
            <a:defRPr sz="1000"/>
          </a:pPr>
          <a:r>
            <a:rPr lang="es-ES" sz="1400" b="1" i="0" u="none" strike="noStrike" baseline="0">
              <a:solidFill>
                <a:srgbClr val="FFFF00"/>
              </a:solidFill>
              <a:latin typeface="Calibri"/>
              <a:cs typeface="Calibri"/>
            </a:rPr>
            <a:t>9</a:t>
          </a:r>
        </a:p>
      </xdr:txBody>
    </xdr:sp>
    <xdr:clientData/>
  </xdr:twoCellAnchor>
  <xdr:twoCellAnchor>
    <xdr:from>
      <xdr:col>11</xdr:col>
      <xdr:colOff>523875</xdr:colOff>
      <xdr:row>25</xdr:row>
      <xdr:rowOff>149373</xdr:rowOff>
    </xdr:from>
    <xdr:to>
      <xdr:col>12</xdr:col>
      <xdr:colOff>440152</xdr:colOff>
      <xdr:row>27</xdr:row>
      <xdr:rowOff>96766</xdr:rowOff>
    </xdr:to>
    <xdr:sp macro="" textlink="">
      <xdr:nvSpPr>
        <xdr:cNvPr id="114" name="AutoShape 31">
          <a:extLst>
            <a:ext uri="{FF2B5EF4-FFF2-40B4-BE49-F238E27FC236}">
              <a16:creationId xmlns:a16="http://schemas.microsoft.com/office/drawing/2014/main" xmlns="" id="{00000000-0008-0000-0200-000072000000}"/>
            </a:ext>
          </a:extLst>
        </xdr:cNvPr>
        <xdr:cNvSpPr>
          <a:spLocks noChangeArrowheads="1"/>
        </xdr:cNvSpPr>
      </xdr:nvSpPr>
      <xdr:spPr bwMode="auto">
        <a:xfrm>
          <a:off x="7038975" y="5321448"/>
          <a:ext cx="525877" cy="347443"/>
        </a:xfrm>
        <a:prstGeom prst="flowChartAlternateProcess">
          <a:avLst/>
        </a:prstGeom>
        <a:solidFill>
          <a:srgbClr val="CC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0" bIns="0" anchor="ctr" upright="1"/>
        <a:lstStyle/>
        <a:p>
          <a:pPr marL="0" indent="0" algn="l" rtl="0">
            <a:defRPr sz="1000"/>
          </a:pPr>
          <a:r>
            <a:rPr lang="pt-BR" sz="1200" b="0" i="0" u="none" strike="noStrike" baseline="0">
              <a:solidFill>
                <a:srgbClr val="FF0000"/>
              </a:solidFill>
              <a:latin typeface="+mn-lt"/>
              <a:ea typeface="+mn-ea"/>
              <a:cs typeface="+mn-cs"/>
            </a:rPr>
            <a:t>CESAN</a:t>
          </a:r>
        </a:p>
      </xdr:txBody>
    </xdr:sp>
    <xdr:clientData/>
  </xdr:twoCellAnchor>
  <xdr:twoCellAnchor>
    <xdr:from>
      <xdr:col>12</xdr:col>
      <xdr:colOff>447675</xdr:colOff>
      <xdr:row>14</xdr:row>
      <xdr:rowOff>127864</xdr:rowOff>
    </xdr:from>
    <xdr:to>
      <xdr:col>14</xdr:col>
      <xdr:colOff>73918</xdr:colOff>
      <xdr:row>16</xdr:row>
      <xdr:rowOff>43320</xdr:rowOff>
    </xdr:to>
    <xdr:sp macro="" textlink="">
      <xdr:nvSpPr>
        <xdr:cNvPr id="115" name="AutoShape 32">
          <a:extLst>
            <a:ext uri="{FF2B5EF4-FFF2-40B4-BE49-F238E27FC236}">
              <a16:creationId xmlns:a16="http://schemas.microsoft.com/office/drawing/2014/main" xmlns="" id="{00000000-0008-0000-0200-000073000000}"/>
            </a:ext>
          </a:extLst>
        </xdr:cNvPr>
        <xdr:cNvSpPr>
          <a:spLocks noChangeArrowheads="1"/>
        </xdr:cNvSpPr>
      </xdr:nvSpPr>
      <xdr:spPr bwMode="auto">
        <a:xfrm>
          <a:off x="7603849" y="3026777"/>
          <a:ext cx="537330" cy="329586"/>
        </a:xfrm>
        <a:prstGeom prst="flowChartAlternateProcess">
          <a:avLst/>
        </a:prstGeom>
        <a:solidFill>
          <a:srgbClr val="CC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0" bIns="0" anchor="ctr" upright="1"/>
        <a:lstStyle/>
        <a:p>
          <a:pPr marL="0" indent="0" algn="l" rtl="0">
            <a:defRPr sz="1000"/>
          </a:pPr>
          <a:r>
            <a:rPr lang="pt-BR" sz="1200" b="0" i="0" u="none" strike="noStrike" baseline="0">
              <a:solidFill>
                <a:srgbClr val="FF0000"/>
              </a:solidFill>
              <a:latin typeface="+mn-lt"/>
              <a:ea typeface="+mn-ea"/>
              <a:cs typeface="+mn-cs"/>
            </a:rPr>
            <a:t>CASAL</a:t>
          </a:r>
        </a:p>
      </xdr:txBody>
    </xdr:sp>
    <xdr:clientData/>
  </xdr:twoCellAnchor>
  <xdr:twoCellAnchor editAs="oneCell">
    <xdr:from>
      <xdr:col>9</xdr:col>
      <xdr:colOff>485168</xdr:colOff>
      <xdr:row>35</xdr:row>
      <xdr:rowOff>25451</xdr:rowOff>
    </xdr:from>
    <xdr:to>
      <xdr:col>10</xdr:col>
      <xdr:colOff>307568</xdr:colOff>
      <xdr:row>37</xdr:row>
      <xdr:rowOff>57401</xdr:rowOff>
    </xdr:to>
    <xdr:sp macro="" textlink="" fLocksText="0">
      <xdr:nvSpPr>
        <xdr:cNvPr id="117" name="Oval 13">
          <a:extLst>
            <a:ext uri="{FF2B5EF4-FFF2-40B4-BE49-F238E27FC236}">
              <a16:creationId xmlns:a16="http://schemas.microsoft.com/office/drawing/2014/main" xmlns="" id="{00000000-0008-0000-0200-000075000000}"/>
            </a:ext>
          </a:extLst>
        </xdr:cNvPr>
        <xdr:cNvSpPr>
          <a:spLocks noChangeArrowheads="1"/>
        </xdr:cNvSpPr>
      </xdr:nvSpPr>
      <xdr:spPr bwMode="auto">
        <a:xfrm>
          <a:off x="5781068" y="6397676"/>
          <a:ext cx="432000" cy="432000"/>
        </a:xfrm>
        <a:prstGeom prst="ellipse">
          <a:avLst/>
        </a:prstGeom>
        <a:solidFill>
          <a:srgbClr val="1C9D0B"/>
        </a:solidFill>
        <a:ln w="12700">
          <a:noFill/>
          <a:round/>
          <a:headEnd/>
          <a:tailEnd/>
        </a:ln>
        <a:effectLst/>
      </xdr:spPr>
      <xdr:txBody>
        <a:bodyPr vertOverflow="clip" wrap="square" lIns="36576" tIns="32004" rIns="36576" bIns="0" anchor="ctr" upright="1"/>
        <a:lstStyle/>
        <a:p>
          <a:pPr algn="ctr" rtl="0">
            <a:defRPr sz="1000"/>
          </a:pPr>
          <a:r>
            <a:rPr lang="es-ES" sz="1400" b="1" i="0" u="none" strike="noStrike" baseline="0">
              <a:solidFill>
                <a:srgbClr val="FFFF00"/>
              </a:solidFill>
              <a:latin typeface="Calibri"/>
              <a:cs typeface="Calibri"/>
            </a:rPr>
            <a:t>1</a:t>
          </a:r>
        </a:p>
      </xdr:txBody>
    </xdr:sp>
    <xdr:clientData/>
  </xdr:twoCellAnchor>
  <xdr:twoCellAnchor editAs="oneCell">
    <xdr:from>
      <xdr:col>14</xdr:col>
      <xdr:colOff>174804</xdr:colOff>
      <xdr:row>12</xdr:row>
      <xdr:rowOff>61408</xdr:rowOff>
    </xdr:from>
    <xdr:to>
      <xdr:col>15</xdr:col>
      <xdr:colOff>1686</xdr:colOff>
      <xdr:row>14</xdr:row>
      <xdr:rowOff>77670</xdr:rowOff>
    </xdr:to>
    <xdr:sp macro="" textlink="" fLocksText="0">
      <xdr:nvSpPr>
        <xdr:cNvPr id="118" name="Oval 11">
          <a:extLst>
            <a:ext uri="{FF2B5EF4-FFF2-40B4-BE49-F238E27FC236}">
              <a16:creationId xmlns:a16="http://schemas.microsoft.com/office/drawing/2014/main" xmlns="" id="{00000000-0008-0000-0200-000076000000}"/>
            </a:ext>
          </a:extLst>
        </xdr:cNvPr>
        <xdr:cNvSpPr>
          <a:spLocks noChangeArrowheads="1"/>
        </xdr:cNvSpPr>
      </xdr:nvSpPr>
      <xdr:spPr bwMode="auto">
        <a:xfrm>
          <a:off x="8213904" y="2576008"/>
          <a:ext cx="436482" cy="435362"/>
        </a:xfrm>
        <a:prstGeom prst="ellipse">
          <a:avLst/>
        </a:prstGeom>
        <a:solidFill>
          <a:srgbClr val="00FF00"/>
        </a:solidFill>
        <a:ln w="12700">
          <a:noFill/>
          <a:round/>
          <a:headEnd/>
          <a:tailEnd/>
        </a:ln>
        <a:effectLst/>
      </xdr:spPr>
      <xdr:txBody>
        <a:bodyPr vertOverflow="clip" wrap="square" lIns="36576" tIns="32004" rIns="36576" bIns="0" anchor="ctr" upright="1"/>
        <a:lstStyle/>
        <a:p>
          <a:pPr algn="ctr" rtl="0">
            <a:defRPr sz="1000"/>
          </a:pPr>
          <a:r>
            <a:rPr lang="es-ES" sz="1400" b="1" i="0" u="none" strike="noStrike" baseline="0">
              <a:solidFill>
                <a:srgbClr val="FFFF00"/>
              </a:solidFill>
              <a:latin typeface="Calibri"/>
              <a:cs typeface="Calibri"/>
            </a:rPr>
            <a:t>12</a:t>
          </a:r>
        </a:p>
      </xdr:txBody>
    </xdr:sp>
    <xdr:clientData/>
  </xdr:twoCellAnchor>
  <xdr:twoCellAnchor editAs="oneCell">
    <xdr:from>
      <xdr:col>10</xdr:col>
      <xdr:colOff>367424</xdr:colOff>
      <xdr:row>24</xdr:row>
      <xdr:rowOff>8438</xdr:rowOff>
    </xdr:from>
    <xdr:to>
      <xdr:col>11</xdr:col>
      <xdr:colOff>189823</xdr:colOff>
      <xdr:row>26</xdr:row>
      <xdr:rowOff>43750</xdr:rowOff>
    </xdr:to>
    <xdr:sp macro="" textlink="" fLocksText="0">
      <xdr:nvSpPr>
        <xdr:cNvPr id="119" name="Oval 12">
          <a:extLst>
            <a:ext uri="{FF2B5EF4-FFF2-40B4-BE49-F238E27FC236}">
              <a16:creationId xmlns:a16="http://schemas.microsoft.com/office/drawing/2014/main" xmlns="" id="{00000000-0008-0000-0200-000077000000}"/>
            </a:ext>
          </a:extLst>
        </xdr:cNvPr>
        <xdr:cNvSpPr>
          <a:spLocks noChangeArrowheads="1"/>
        </xdr:cNvSpPr>
      </xdr:nvSpPr>
      <xdr:spPr bwMode="auto">
        <a:xfrm>
          <a:off x="6272924" y="4180388"/>
          <a:ext cx="431999" cy="435363"/>
        </a:xfrm>
        <a:prstGeom prst="ellipse">
          <a:avLst/>
        </a:prstGeom>
        <a:solidFill>
          <a:srgbClr val="00FF00"/>
        </a:solidFill>
        <a:ln w="12700">
          <a:noFill/>
          <a:round/>
          <a:headEnd/>
          <a:tailEnd/>
        </a:ln>
        <a:effectLst/>
      </xdr:spPr>
      <xdr:txBody>
        <a:bodyPr vertOverflow="clip" wrap="square" lIns="36576" tIns="32004" rIns="36576" bIns="0" anchor="ctr" upright="1"/>
        <a:lstStyle/>
        <a:p>
          <a:pPr algn="ctr" rtl="0">
            <a:defRPr sz="1000"/>
          </a:pPr>
          <a:r>
            <a:rPr lang="es-ES" sz="1400" b="1" i="0" u="none" strike="noStrike" baseline="0">
              <a:solidFill>
                <a:srgbClr val="FFFF00"/>
              </a:solidFill>
              <a:latin typeface="Calibri"/>
              <a:cs typeface="Calibri"/>
            </a:rPr>
            <a:t>4</a:t>
          </a:r>
        </a:p>
      </xdr:txBody>
    </xdr:sp>
    <xdr:clientData/>
  </xdr:twoCellAnchor>
  <xdr:twoCellAnchor>
    <xdr:from>
      <xdr:col>8</xdr:col>
      <xdr:colOff>390524</xdr:colOff>
      <xdr:row>35</xdr:row>
      <xdr:rowOff>59481</xdr:rowOff>
    </xdr:from>
    <xdr:to>
      <xdr:col>9</xdr:col>
      <xdr:colOff>483053</xdr:colOff>
      <xdr:row>37</xdr:row>
      <xdr:rowOff>8234</xdr:rowOff>
    </xdr:to>
    <xdr:sp macro="" textlink="">
      <xdr:nvSpPr>
        <xdr:cNvPr id="120" name="AutoShape 37">
          <a:extLst>
            <a:ext uri="{FF2B5EF4-FFF2-40B4-BE49-F238E27FC236}">
              <a16:creationId xmlns:a16="http://schemas.microsoft.com/office/drawing/2014/main" xmlns="" id="{00000000-0008-0000-0200-000078000000}"/>
            </a:ext>
          </a:extLst>
        </xdr:cNvPr>
        <xdr:cNvSpPr>
          <a:spLocks noChangeArrowheads="1"/>
        </xdr:cNvSpPr>
      </xdr:nvSpPr>
      <xdr:spPr bwMode="auto">
        <a:xfrm>
          <a:off x="5076824" y="6431706"/>
          <a:ext cx="702129" cy="348803"/>
        </a:xfrm>
        <a:prstGeom prst="flowChartAlternateProcess">
          <a:avLst/>
        </a:prstGeom>
        <a:solidFill>
          <a:srgbClr val="CC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0" bIns="0" anchor="ctr" upright="1"/>
        <a:lstStyle/>
        <a:p>
          <a:pPr marL="0" indent="0" algn="l" rtl="0">
            <a:defRPr sz="1000"/>
          </a:pPr>
          <a:r>
            <a:rPr lang="pt-BR" sz="1200" b="0" i="0" u="none" strike="noStrike" baseline="0">
              <a:solidFill>
                <a:srgbClr val="FF0000"/>
              </a:solidFill>
              <a:latin typeface="+mn-lt"/>
              <a:ea typeface="+mn-ea"/>
              <a:cs typeface="+mn-cs"/>
            </a:rPr>
            <a:t>CORSAN</a:t>
          </a:r>
        </a:p>
      </xdr:txBody>
    </xdr:sp>
    <xdr:clientData/>
  </xdr:twoCellAnchor>
  <xdr:twoCellAnchor>
    <xdr:from>
      <xdr:col>10</xdr:col>
      <xdr:colOff>582064</xdr:colOff>
      <xdr:row>11</xdr:row>
      <xdr:rowOff>84500</xdr:rowOff>
    </xdr:from>
    <xdr:to>
      <xdr:col>11</xdr:col>
      <xdr:colOff>404463</xdr:colOff>
      <xdr:row>13</xdr:row>
      <xdr:rowOff>86195</xdr:rowOff>
    </xdr:to>
    <xdr:sp macro="" textlink="" fLocksText="0">
      <xdr:nvSpPr>
        <xdr:cNvPr id="121" name="Oval 1">
          <a:extLst>
            <a:ext uri="{FF2B5EF4-FFF2-40B4-BE49-F238E27FC236}">
              <a16:creationId xmlns:a16="http://schemas.microsoft.com/office/drawing/2014/main" xmlns="" id="{00000000-0008-0000-0200-000079000000}"/>
            </a:ext>
          </a:extLst>
        </xdr:cNvPr>
        <xdr:cNvSpPr>
          <a:spLocks noChangeArrowheads="1"/>
        </xdr:cNvSpPr>
      </xdr:nvSpPr>
      <xdr:spPr bwMode="auto">
        <a:xfrm>
          <a:off x="6487564" y="2380025"/>
          <a:ext cx="431999" cy="430320"/>
        </a:xfrm>
        <a:prstGeom prst="ellipse">
          <a:avLst/>
        </a:prstGeom>
        <a:solidFill>
          <a:srgbClr val="FF0000"/>
        </a:solidFill>
        <a:ln w="12700">
          <a:noFill/>
          <a:round/>
          <a:headEnd/>
          <a:tailEnd/>
        </a:ln>
        <a:effectLst/>
      </xdr:spPr>
      <xdr:txBody>
        <a:bodyPr vertOverflow="clip" wrap="square" lIns="36576" tIns="32004" rIns="36576" bIns="0" anchor="ctr" upright="1"/>
        <a:lstStyle/>
        <a:p>
          <a:pPr algn="ctr" rtl="0">
            <a:defRPr sz="1000"/>
          </a:pPr>
          <a:r>
            <a:rPr lang="es-ES" sz="1400" b="1" i="0" u="none" strike="noStrike" baseline="0">
              <a:solidFill>
                <a:srgbClr val="FFFF00"/>
              </a:solidFill>
              <a:latin typeface="Calibri"/>
              <a:cs typeface="Calibri"/>
            </a:rPr>
            <a:t>18</a:t>
          </a:r>
        </a:p>
      </xdr:txBody>
    </xdr:sp>
    <xdr:clientData/>
  </xdr:twoCellAnchor>
  <xdr:twoCellAnchor editAs="oneCell">
    <xdr:from>
      <xdr:col>8</xdr:col>
      <xdr:colOff>537206</xdr:colOff>
      <xdr:row>5</xdr:row>
      <xdr:rowOff>103093</xdr:rowOff>
    </xdr:from>
    <xdr:to>
      <xdr:col>9</xdr:col>
      <xdr:colOff>359606</xdr:colOff>
      <xdr:row>7</xdr:row>
      <xdr:rowOff>115994</xdr:rowOff>
    </xdr:to>
    <xdr:sp macro="" textlink="" fLocksText="0">
      <xdr:nvSpPr>
        <xdr:cNvPr id="123" name="Oval 14">
          <a:extLst>
            <a:ext uri="{FF2B5EF4-FFF2-40B4-BE49-F238E27FC236}">
              <a16:creationId xmlns:a16="http://schemas.microsoft.com/office/drawing/2014/main" xmlns="" id="{00000000-0008-0000-0200-00007B000000}"/>
            </a:ext>
          </a:extLst>
        </xdr:cNvPr>
        <xdr:cNvSpPr>
          <a:spLocks noChangeArrowheads="1"/>
        </xdr:cNvSpPr>
      </xdr:nvSpPr>
      <xdr:spPr bwMode="auto">
        <a:xfrm>
          <a:off x="5246789" y="1150843"/>
          <a:ext cx="436234" cy="436234"/>
        </a:xfrm>
        <a:prstGeom prst="ellipse">
          <a:avLst/>
        </a:prstGeom>
        <a:solidFill>
          <a:srgbClr val="00FF00"/>
        </a:solidFill>
        <a:ln w="12700">
          <a:noFill/>
          <a:round/>
          <a:headEnd/>
          <a:tailEnd/>
        </a:ln>
        <a:effectLst/>
      </xdr:spPr>
      <xdr:txBody>
        <a:bodyPr vertOverflow="clip" wrap="square" lIns="36576" tIns="32004" rIns="36576" bIns="0" anchor="ctr" upright="1"/>
        <a:lstStyle/>
        <a:p>
          <a:pPr algn="ctr" rtl="0">
            <a:defRPr sz="1000"/>
          </a:pPr>
          <a:r>
            <a:rPr lang="es-ES" sz="1400" b="1" i="0" u="none" strike="noStrike" baseline="0">
              <a:solidFill>
                <a:srgbClr val="FFFF00"/>
              </a:solidFill>
              <a:latin typeface="Calibri"/>
              <a:cs typeface="Calibri"/>
            </a:rPr>
            <a:t>5</a:t>
          </a:r>
        </a:p>
      </xdr:txBody>
    </xdr:sp>
    <xdr:clientData/>
  </xdr:twoCellAnchor>
  <xdr:twoCellAnchor>
    <xdr:from>
      <xdr:col>15</xdr:col>
      <xdr:colOff>3343275</xdr:colOff>
      <xdr:row>26</xdr:row>
      <xdr:rowOff>58562</xdr:rowOff>
    </xdr:from>
    <xdr:to>
      <xdr:col>15</xdr:col>
      <xdr:colOff>4257675</xdr:colOff>
      <xdr:row>27</xdr:row>
      <xdr:rowOff>196455</xdr:rowOff>
    </xdr:to>
    <xdr:sp macro="" textlink="">
      <xdr:nvSpPr>
        <xdr:cNvPr id="124" name="AutoShape 41">
          <a:extLst>
            <a:ext uri="{FF2B5EF4-FFF2-40B4-BE49-F238E27FC236}">
              <a16:creationId xmlns:a16="http://schemas.microsoft.com/office/drawing/2014/main" xmlns="" id="{00000000-0008-0000-0200-00007C000000}"/>
            </a:ext>
          </a:extLst>
        </xdr:cNvPr>
        <xdr:cNvSpPr>
          <a:spLocks noChangeArrowheads="1"/>
        </xdr:cNvSpPr>
      </xdr:nvSpPr>
      <xdr:spPr bwMode="auto">
        <a:xfrm>
          <a:off x="12011025" y="4562526"/>
          <a:ext cx="914400" cy="342000"/>
        </a:xfrm>
        <a:prstGeom prst="flowChartAlternateProcess">
          <a:avLst/>
        </a:prstGeom>
        <a:solidFill>
          <a:srgbClr val="CC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0" bIns="0" anchor="ctr" upright="1"/>
        <a:lstStyle/>
        <a:p>
          <a:pPr algn="l" rtl="0">
            <a:defRPr sz="1000"/>
          </a:pPr>
          <a:r>
            <a:rPr lang="pt-BR" sz="1200" b="0" i="0" u="none" strike="noStrike" baseline="0">
              <a:solidFill>
                <a:srgbClr val="FF0000"/>
              </a:solidFill>
              <a:latin typeface="+mn-lt"/>
            </a:rPr>
            <a:t>GuantánamoO</a:t>
          </a:r>
        </a:p>
      </xdr:txBody>
    </xdr:sp>
    <xdr:clientData/>
  </xdr:twoCellAnchor>
  <xdr:twoCellAnchor editAs="oneCell">
    <xdr:from>
      <xdr:col>12</xdr:col>
      <xdr:colOff>708209</xdr:colOff>
      <xdr:row>16</xdr:row>
      <xdr:rowOff>7061</xdr:rowOff>
    </xdr:from>
    <xdr:to>
      <xdr:col>14</xdr:col>
      <xdr:colOff>221327</xdr:colOff>
      <xdr:row>18</xdr:row>
      <xdr:rowOff>16599</xdr:rowOff>
    </xdr:to>
    <xdr:sp macro="" textlink="" fLocksText="0">
      <xdr:nvSpPr>
        <xdr:cNvPr id="125" name="Oval 15">
          <a:extLst>
            <a:ext uri="{FF2B5EF4-FFF2-40B4-BE49-F238E27FC236}">
              <a16:creationId xmlns:a16="http://schemas.microsoft.com/office/drawing/2014/main" xmlns="" id="{00000000-0008-0000-0200-00007D000000}"/>
            </a:ext>
          </a:extLst>
        </xdr:cNvPr>
        <xdr:cNvSpPr>
          <a:spLocks noChangeArrowheads="1"/>
        </xdr:cNvSpPr>
      </xdr:nvSpPr>
      <xdr:spPr bwMode="auto">
        <a:xfrm>
          <a:off x="7864383" y="3320104"/>
          <a:ext cx="424205" cy="423669"/>
        </a:xfrm>
        <a:prstGeom prst="ellipse">
          <a:avLst/>
        </a:prstGeom>
        <a:solidFill>
          <a:srgbClr val="FF0000"/>
        </a:solidFill>
        <a:ln w="12700">
          <a:noFill/>
          <a:round/>
          <a:headEnd/>
          <a:tailEnd/>
        </a:ln>
        <a:effectLst/>
      </xdr:spPr>
      <xdr:txBody>
        <a:bodyPr vertOverflow="clip" wrap="square" lIns="36576" tIns="32004" rIns="36576" bIns="0" anchor="ctr" upright="1"/>
        <a:lstStyle/>
        <a:p>
          <a:pPr algn="ctr" rtl="0">
            <a:defRPr sz="1000"/>
          </a:pPr>
          <a:r>
            <a:rPr lang="es-ES" sz="1400" b="1" i="0" u="none" strike="noStrike" baseline="0">
              <a:solidFill>
                <a:srgbClr val="FFFF00"/>
              </a:solidFill>
              <a:latin typeface="Calibri"/>
              <a:cs typeface="Calibri"/>
            </a:rPr>
            <a:t>20</a:t>
          </a:r>
        </a:p>
      </xdr:txBody>
    </xdr:sp>
    <xdr:clientData/>
  </xdr:twoCellAnchor>
  <xdr:twoCellAnchor>
    <xdr:from>
      <xdr:col>7</xdr:col>
      <xdr:colOff>533400</xdr:colOff>
      <xdr:row>31</xdr:row>
      <xdr:rowOff>152564</xdr:rowOff>
    </xdr:from>
    <xdr:to>
      <xdr:col>8</xdr:col>
      <xdr:colOff>514100</xdr:colOff>
      <xdr:row>33</xdr:row>
      <xdr:rowOff>105399</xdr:rowOff>
    </xdr:to>
    <xdr:sp macro="" textlink="">
      <xdr:nvSpPr>
        <xdr:cNvPr id="126" name="AutoShape 43">
          <a:extLst>
            <a:ext uri="{FF2B5EF4-FFF2-40B4-BE49-F238E27FC236}">
              <a16:creationId xmlns:a16="http://schemas.microsoft.com/office/drawing/2014/main" xmlns="" id="{00000000-0008-0000-0200-00007E000000}"/>
            </a:ext>
          </a:extLst>
        </xdr:cNvPr>
        <xdr:cNvSpPr>
          <a:spLocks noChangeArrowheads="1"/>
        </xdr:cNvSpPr>
      </xdr:nvSpPr>
      <xdr:spPr bwMode="auto">
        <a:xfrm>
          <a:off x="4610100" y="6524789"/>
          <a:ext cx="590300" cy="352885"/>
        </a:xfrm>
        <a:prstGeom prst="flowChartAlternateProcess">
          <a:avLst/>
        </a:prstGeom>
        <a:solidFill>
          <a:srgbClr val="CC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0" bIns="0" anchor="ctr" upright="1"/>
        <a:lstStyle/>
        <a:p>
          <a:pPr algn="l" rtl="0">
            <a:defRPr sz="1000"/>
          </a:pPr>
          <a:r>
            <a:rPr lang="pt-BR" sz="1200" b="0" i="0" u="none" strike="noStrike" baseline="0">
              <a:solidFill>
                <a:srgbClr val="FF0000"/>
              </a:solidFill>
              <a:latin typeface="+mn-lt"/>
            </a:rPr>
            <a:t>CASAN</a:t>
          </a:r>
        </a:p>
      </xdr:txBody>
    </xdr:sp>
    <xdr:clientData/>
  </xdr:twoCellAnchor>
  <xdr:twoCellAnchor editAs="oneCell">
    <xdr:from>
      <xdr:col>11</xdr:col>
      <xdr:colOff>378804</xdr:colOff>
      <xdr:row>13</xdr:row>
      <xdr:rowOff>76926</xdr:rowOff>
    </xdr:from>
    <xdr:to>
      <xdr:col>12</xdr:col>
      <xdr:colOff>196722</xdr:colOff>
      <xdr:row>15</xdr:row>
      <xdr:rowOff>89826</xdr:rowOff>
    </xdr:to>
    <xdr:sp macro="" textlink="" fLocksText="0">
      <xdr:nvSpPr>
        <xdr:cNvPr id="127" name="Oval 16">
          <a:extLst>
            <a:ext uri="{FF2B5EF4-FFF2-40B4-BE49-F238E27FC236}">
              <a16:creationId xmlns:a16="http://schemas.microsoft.com/office/drawing/2014/main" xmlns="" id="{00000000-0008-0000-0200-00007F000000}"/>
            </a:ext>
          </a:extLst>
        </xdr:cNvPr>
        <xdr:cNvSpPr>
          <a:spLocks noChangeArrowheads="1"/>
        </xdr:cNvSpPr>
      </xdr:nvSpPr>
      <xdr:spPr bwMode="auto">
        <a:xfrm>
          <a:off x="6893904" y="2801076"/>
          <a:ext cx="427518" cy="432001"/>
        </a:xfrm>
        <a:prstGeom prst="ellipse">
          <a:avLst/>
        </a:prstGeom>
        <a:solidFill>
          <a:srgbClr val="00FF00"/>
        </a:solidFill>
        <a:ln w="12700">
          <a:noFill/>
          <a:round/>
          <a:headEnd/>
          <a:tailEnd/>
        </a:ln>
        <a:effectLst/>
      </xdr:spPr>
      <xdr:txBody>
        <a:bodyPr vertOverflow="clip" wrap="square" lIns="36576" tIns="32004" rIns="36576" bIns="0" anchor="ctr" upright="1"/>
        <a:lstStyle/>
        <a:p>
          <a:pPr algn="ctr" rtl="0">
            <a:defRPr sz="1000"/>
          </a:pPr>
          <a:r>
            <a:rPr lang="es-ES" sz="1400" b="1" i="0" u="none" strike="noStrike" baseline="0">
              <a:solidFill>
                <a:srgbClr val="FFFF00"/>
              </a:solidFill>
              <a:latin typeface="Calibri"/>
              <a:cs typeface="Calibri"/>
            </a:rPr>
            <a:t>10</a:t>
          </a:r>
        </a:p>
      </xdr:txBody>
    </xdr:sp>
    <xdr:clientData/>
  </xdr:twoCellAnchor>
  <xdr:twoCellAnchor>
    <xdr:from>
      <xdr:col>9</xdr:col>
      <xdr:colOff>78441</xdr:colOff>
      <xdr:row>17</xdr:row>
      <xdr:rowOff>112059</xdr:rowOff>
    </xdr:from>
    <xdr:to>
      <xdr:col>10</xdr:col>
      <xdr:colOff>53536</xdr:colOff>
      <xdr:row>18</xdr:row>
      <xdr:rowOff>179294</xdr:rowOff>
    </xdr:to>
    <xdr:sp macro="" textlink="">
      <xdr:nvSpPr>
        <xdr:cNvPr id="74" name="AutoShape 43">
          <a:extLst>
            <a:ext uri="{FF2B5EF4-FFF2-40B4-BE49-F238E27FC236}">
              <a16:creationId xmlns:a16="http://schemas.microsoft.com/office/drawing/2014/main" xmlns="" id="{00000000-0008-0000-0200-00004A000000}"/>
            </a:ext>
          </a:extLst>
        </xdr:cNvPr>
        <xdr:cNvSpPr>
          <a:spLocks noChangeArrowheads="1"/>
        </xdr:cNvSpPr>
      </xdr:nvSpPr>
      <xdr:spPr bwMode="auto">
        <a:xfrm>
          <a:off x="5345206" y="3731559"/>
          <a:ext cx="580212" cy="280147"/>
        </a:xfrm>
        <a:prstGeom prst="flowChartAlternateProcess">
          <a:avLst/>
        </a:prstGeom>
        <a:solidFill>
          <a:srgbClr val="CC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0" bIns="0" anchor="ctr" upright="1"/>
        <a:lstStyle/>
        <a:p>
          <a:pPr algn="l" rtl="0">
            <a:defRPr sz="1000"/>
          </a:pPr>
          <a:r>
            <a:rPr lang="pt-BR" sz="1200" b="0" i="0" u="none" strike="noStrike" baseline="0">
              <a:solidFill>
                <a:srgbClr val="FF0000"/>
              </a:solidFill>
              <a:latin typeface="+mn-lt"/>
            </a:rPr>
            <a:t>CAESB</a:t>
          </a:r>
        </a:p>
      </xdr:txBody>
    </xdr:sp>
    <xdr:clientData/>
  </xdr:twoCellAnchor>
  <xdr:twoCellAnchor>
    <xdr:from>
      <xdr:col>11</xdr:col>
      <xdr:colOff>249454</xdr:colOff>
      <xdr:row>7</xdr:row>
      <xdr:rowOff>25482</xdr:rowOff>
    </xdr:from>
    <xdr:to>
      <xdr:col>12</xdr:col>
      <xdr:colOff>272833</xdr:colOff>
      <xdr:row>8</xdr:row>
      <xdr:rowOff>168817</xdr:rowOff>
    </xdr:to>
    <xdr:sp macro="" textlink="">
      <xdr:nvSpPr>
        <xdr:cNvPr id="94" name="AutoShape 8">
          <a:extLst>
            <a:ext uri="{FF2B5EF4-FFF2-40B4-BE49-F238E27FC236}">
              <a16:creationId xmlns:a16="http://schemas.microsoft.com/office/drawing/2014/main" xmlns="" id="{00000000-0008-0000-0200-00005E000000}"/>
            </a:ext>
          </a:extLst>
        </xdr:cNvPr>
        <xdr:cNvSpPr>
          <a:spLocks noChangeArrowheads="1"/>
        </xdr:cNvSpPr>
      </xdr:nvSpPr>
      <xdr:spPr bwMode="auto">
        <a:xfrm>
          <a:off x="6800537" y="1496565"/>
          <a:ext cx="637213" cy="355002"/>
        </a:xfrm>
        <a:prstGeom prst="flowChartAlternateProcess">
          <a:avLst/>
        </a:prstGeom>
        <a:solidFill>
          <a:srgbClr val="CC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36576" tIns="32004" rIns="0" bIns="0" anchor="ctr" upright="1"/>
        <a:lstStyle/>
        <a:p>
          <a:pPr algn="l" rtl="0">
            <a:defRPr sz="1000"/>
          </a:pPr>
          <a:r>
            <a:rPr lang="pt-BR" sz="1200" b="0" i="0" u="none" strike="noStrike" baseline="0">
              <a:solidFill>
                <a:srgbClr val="FF0000"/>
              </a:solidFill>
              <a:latin typeface="Calibri"/>
            </a:rPr>
            <a:t>CAGECE</a:t>
          </a:r>
        </a:p>
      </xdr:txBody>
    </xdr:sp>
    <xdr:clientData/>
  </xdr:twoCellAnchor>
  <xdr:twoCellAnchor>
    <xdr:from>
      <xdr:col>12</xdr:col>
      <xdr:colOff>499220</xdr:colOff>
      <xdr:row>10</xdr:row>
      <xdr:rowOff>104856</xdr:rowOff>
    </xdr:from>
    <xdr:to>
      <xdr:col>14</xdr:col>
      <xdr:colOff>217799</xdr:colOff>
      <xdr:row>12</xdr:row>
      <xdr:rowOff>29116</xdr:rowOff>
    </xdr:to>
    <xdr:sp macro="" textlink="">
      <xdr:nvSpPr>
        <xdr:cNvPr id="95" name="AutoShape 8">
          <a:extLst>
            <a:ext uri="{FF2B5EF4-FFF2-40B4-BE49-F238E27FC236}">
              <a16:creationId xmlns:a16="http://schemas.microsoft.com/office/drawing/2014/main" xmlns="" id="{00000000-0008-0000-0200-00005F000000}"/>
            </a:ext>
          </a:extLst>
        </xdr:cNvPr>
        <xdr:cNvSpPr>
          <a:spLocks noChangeArrowheads="1"/>
        </xdr:cNvSpPr>
      </xdr:nvSpPr>
      <xdr:spPr bwMode="auto">
        <a:xfrm>
          <a:off x="7623920" y="2190831"/>
          <a:ext cx="632979" cy="352885"/>
        </a:xfrm>
        <a:prstGeom prst="flowChartAlternateProcess">
          <a:avLst/>
        </a:prstGeom>
        <a:solidFill>
          <a:srgbClr val="CC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36576" tIns="32004" rIns="0" bIns="0" anchor="ctr" upright="1"/>
        <a:lstStyle/>
        <a:p>
          <a:pPr algn="l" rtl="0">
            <a:defRPr sz="1000"/>
          </a:pPr>
          <a:r>
            <a:rPr lang="pt-BR" sz="1200" b="0" i="0" u="none" strike="noStrike" baseline="0">
              <a:solidFill>
                <a:srgbClr val="FF0000"/>
              </a:solidFill>
              <a:latin typeface="Calibri"/>
            </a:rPr>
            <a:t>CAGEPA</a:t>
          </a:r>
        </a:p>
      </xdr:txBody>
    </xdr:sp>
    <xdr:clientData/>
  </xdr:twoCellAnchor>
  <xdr:twoCellAnchor>
    <xdr:from>
      <xdr:col>12</xdr:col>
      <xdr:colOff>188016</xdr:colOff>
      <xdr:row>16</xdr:row>
      <xdr:rowOff>50735</xdr:rowOff>
    </xdr:from>
    <xdr:to>
      <xdr:col>12</xdr:col>
      <xdr:colOff>709411</xdr:colOff>
      <xdr:row>17</xdr:row>
      <xdr:rowOff>177342</xdr:rowOff>
    </xdr:to>
    <xdr:sp macro="" textlink="">
      <xdr:nvSpPr>
        <xdr:cNvPr id="98" name="AutoShape 31">
          <a:extLst>
            <a:ext uri="{FF2B5EF4-FFF2-40B4-BE49-F238E27FC236}">
              <a16:creationId xmlns:a16="http://schemas.microsoft.com/office/drawing/2014/main" xmlns="" id="{00000000-0008-0000-0200-000062000000}"/>
            </a:ext>
          </a:extLst>
        </xdr:cNvPr>
        <xdr:cNvSpPr>
          <a:spLocks noChangeArrowheads="1"/>
        </xdr:cNvSpPr>
      </xdr:nvSpPr>
      <xdr:spPr bwMode="auto">
        <a:xfrm>
          <a:off x="7344190" y="3363778"/>
          <a:ext cx="521395" cy="333673"/>
        </a:xfrm>
        <a:prstGeom prst="flowChartAlternateProcess">
          <a:avLst/>
        </a:prstGeom>
        <a:solidFill>
          <a:srgbClr val="CC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0" bIns="0" anchor="ctr" upright="1"/>
        <a:lstStyle/>
        <a:p>
          <a:pPr marL="0" indent="0" algn="l" rtl="0">
            <a:defRPr sz="1000"/>
          </a:pPr>
          <a:r>
            <a:rPr lang="pt-BR" sz="1200" b="0" i="0" u="none" strike="noStrike" baseline="0">
              <a:solidFill>
                <a:srgbClr val="FF0000"/>
              </a:solidFill>
              <a:latin typeface="+mn-lt"/>
              <a:ea typeface="+mn-ea"/>
              <a:cs typeface="+mn-cs"/>
            </a:rPr>
            <a:t>DESO</a:t>
          </a:r>
        </a:p>
      </xdr:txBody>
    </xdr:sp>
    <xdr:clientData/>
  </xdr:twoCellAnchor>
  <xdr:twoCellAnchor>
    <xdr:from>
      <xdr:col>4</xdr:col>
      <xdr:colOff>203387</xdr:colOff>
      <xdr:row>7</xdr:row>
      <xdr:rowOff>98965</xdr:rowOff>
    </xdr:from>
    <xdr:to>
      <xdr:col>5</xdr:col>
      <xdr:colOff>21737</xdr:colOff>
      <xdr:row>9</xdr:row>
      <xdr:rowOff>23946</xdr:rowOff>
    </xdr:to>
    <xdr:sp macro="" textlink="">
      <xdr:nvSpPr>
        <xdr:cNvPr id="128" name="AutoShape 23">
          <a:extLst>
            <a:ext uri="{FF2B5EF4-FFF2-40B4-BE49-F238E27FC236}">
              <a16:creationId xmlns:a16="http://schemas.microsoft.com/office/drawing/2014/main" xmlns="" id="{00000000-0008-0000-0200-000080000000}"/>
            </a:ext>
          </a:extLst>
        </xdr:cNvPr>
        <xdr:cNvSpPr>
          <a:spLocks noChangeArrowheads="1"/>
        </xdr:cNvSpPr>
      </xdr:nvSpPr>
      <xdr:spPr bwMode="auto">
        <a:xfrm>
          <a:off x="2451287" y="1556290"/>
          <a:ext cx="427950" cy="344081"/>
        </a:xfrm>
        <a:prstGeom prst="flowChartAlternateProcess">
          <a:avLst/>
        </a:prstGeom>
        <a:solidFill>
          <a:srgbClr val="CC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0" bIns="0" anchor="ctr" upright="1"/>
        <a:lstStyle/>
        <a:p>
          <a:pPr algn="l" rtl="0">
            <a:defRPr sz="1000"/>
          </a:pPr>
          <a:r>
            <a:rPr lang="pt-BR" sz="1200" b="0" i="0" u="none" strike="noStrike" baseline="0">
              <a:solidFill>
                <a:srgbClr val="FF0000"/>
              </a:solidFill>
              <a:latin typeface="Calibri"/>
            </a:rPr>
            <a:t>MA</a:t>
          </a:r>
        </a:p>
      </xdr:txBody>
    </xdr:sp>
    <xdr:clientData/>
  </xdr:twoCellAnchor>
  <xdr:twoCellAnchor editAs="oneCell">
    <xdr:from>
      <xdr:col>5</xdr:col>
      <xdr:colOff>29181</xdr:colOff>
      <xdr:row>7</xdr:row>
      <xdr:rowOff>50593</xdr:rowOff>
    </xdr:from>
    <xdr:to>
      <xdr:col>5</xdr:col>
      <xdr:colOff>452217</xdr:colOff>
      <xdr:row>9</xdr:row>
      <xdr:rowOff>63493</xdr:rowOff>
    </xdr:to>
    <xdr:sp macro="" textlink="" fLocksText="0">
      <xdr:nvSpPr>
        <xdr:cNvPr id="129" name="Oval 17">
          <a:extLst>
            <a:ext uri="{FF2B5EF4-FFF2-40B4-BE49-F238E27FC236}">
              <a16:creationId xmlns:a16="http://schemas.microsoft.com/office/drawing/2014/main" xmlns="" id="{00000000-0008-0000-0200-000081000000}"/>
            </a:ext>
          </a:extLst>
        </xdr:cNvPr>
        <xdr:cNvSpPr>
          <a:spLocks noChangeArrowheads="1"/>
        </xdr:cNvSpPr>
      </xdr:nvSpPr>
      <xdr:spPr bwMode="auto">
        <a:xfrm>
          <a:off x="2886681" y="1507918"/>
          <a:ext cx="423036" cy="432000"/>
        </a:xfrm>
        <a:prstGeom prst="ellipse">
          <a:avLst/>
        </a:prstGeom>
        <a:solidFill>
          <a:srgbClr val="00FF00"/>
        </a:solidFill>
        <a:ln w="12700">
          <a:noFill/>
          <a:round/>
          <a:headEnd/>
          <a:tailEnd/>
        </a:ln>
        <a:effectLst/>
      </xdr:spPr>
      <xdr:txBody>
        <a:bodyPr vertOverflow="clip" wrap="square" lIns="36576" tIns="32004" rIns="36576" bIns="0" anchor="ctr" upright="1"/>
        <a:lstStyle/>
        <a:p>
          <a:pPr algn="ctr" rtl="0">
            <a:defRPr sz="1000"/>
          </a:pPr>
          <a:r>
            <a:rPr lang="es-ES" sz="1400" b="1" i="0" u="none" strike="noStrike" baseline="0">
              <a:solidFill>
                <a:srgbClr val="FFFF00"/>
              </a:solidFill>
              <a:latin typeface="Calibri"/>
              <a:cs typeface="Calibri"/>
            </a:rPr>
            <a:t>13</a:t>
          </a:r>
        </a:p>
      </xdr:txBody>
    </xdr:sp>
    <xdr:clientData/>
  </xdr:twoCellAnchor>
  <xdr:twoCellAnchor>
    <xdr:from>
      <xdr:col>8</xdr:col>
      <xdr:colOff>6225</xdr:colOff>
      <xdr:row>26</xdr:row>
      <xdr:rowOff>107118</xdr:rowOff>
    </xdr:from>
    <xdr:to>
      <xdr:col>9</xdr:col>
      <xdr:colOff>26281</xdr:colOff>
      <xdr:row>28</xdr:row>
      <xdr:rowOff>54513</xdr:rowOff>
    </xdr:to>
    <xdr:sp macro="" textlink="">
      <xdr:nvSpPr>
        <xdr:cNvPr id="130" name="AutoShape 23">
          <a:extLst>
            <a:ext uri="{FF2B5EF4-FFF2-40B4-BE49-F238E27FC236}">
              <a16:creationId xmlns:a16="http://schemas.microsoft.com/office/drawing/2014/main" xmlns="" id="{00000000-0008-0000-0200-000082000000}"/>
            </a:ext>
          </a:extLst>
        </xdr:cNvPr>
        <xdr:cNvSpPr>
          <a:spLocks noChangeArrowheads="1"/>
        </xdr:cNvSpPr>
      </xdr:nvSpPr>
      <xdr:spPr bwMode="auto">
        <a:xfrm>
          <a:off x="4715808" y="5525785"/>
          <a:ext cx="633890" cy="349561"/>
        </a:xfrm>
        <a:prstGeom prst="flowChartAlternateProcess">
          <a:avLst/>
        </a:prstGeom>
        <a:solidFill>
          <a:srgbClr val="CC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0" bIns="0" anchor="ctr" upright="1"/>
        <a:lstStyle/>
        <a:p>
          <a:pPr algn="l" rtl="0">
            <a:defRPr sz="1000"/>
          </a:pPr>
          <a:r>
            <a:rPr lang="pt-BR" sz="1200" b="0" i="0" u="none" strike="noStrike" baseline="0">
              <a:solidFill>
                <a:srgbClr val="FF0000"/>
              </a:solidFill>
              <a:latin typeface="Calibri"/>
            </a:rPr>
            <a:t>SABESP</a:t>
          </a:r>
        </a:p>
      </xdr:txBody>
    </xdr:sp>
    <xdr:clientData/>
  </xdr:twoCellAnchor>
  <xdr:twoCellAnchor editAs="oneCell">
    <xdr:from>
      <xdr:col>9</xdr:col>
      <xdr:colOff>33725</xdr:colOff>
      <xdr:row>26</xdr:row>
      <xdr:rowOff>58746</xdr:rowOff>
    </xdr:from>
    <xdr:to>
      <xdr:col>9</xdr:col>
      <xdr:colOff>465477</xdr:colOff>
      <xdr:row>28</xdr:row>
      <xdr:rowOff>94060</xdr:rowOff>
    </xdr:to>
    <xdr:sp macro="" textlink="" fLocksText="0">
      <xdr:nvSpPr>
        <xdr:cNvPr id="131" name="Oval 18">
          <a:extLst>
            <a:ext uri="{FF2B5EF4-FFF2-40B4-BE49-F238E27FC236}">
              <a16:creationId xmlns:a16="http://schemas.microsoft.com/office/drawing/2014/main" xmlns="" id="{00000000-0008-0000-0200-000083000000}"/>
            </a:ext>
          </a:extLst>
        </xdr:cNvPr>
        <xdr:cNvSpPr>
          <a:spLocks noChangeArrowheads="1"/>
        </xdr:cNvSpPr>
      </xdr:nvSpPr>
      <xdr:spPr bwMode="auto">
        <a:xfrm>
          <a:off x="5357142" y="5477413"/>
          <a:ext cx="431752" cy="437480"/>
        </a:xfrm>
        <a:prstGeom prst="ellipse">
          <a:avLst/>
        </a:prstGeom>
        <a:solidFill>
          <a:srgbClr val="00FF00"/>
        </a:solidFill>
        <a:ln w="12700">
          <a:noFill/>
          <a:round/>
          <a:headEnd/>
          <a:tailEnd/>
        </a:ln>
        <a:effectLst/>
      </xdr:spPr>
      <xdr:txBody>
        <a:bodyPr vertOverflow="clip" wrap="square" lIns="36576" tIns="32004" rIns="36576" bIns="0" anchor="ctr" upright="1"/>
        <a:lstStyle/>
        <a:p>
          <a:pPr algn="ctr" rtl="0">
            <a:defRPr sz="1000"/>
          </a:pPr>
          <a:r>
            <a:rPr lang="es-ES" sz="1400" b="1" i="0" u="none" strike="noStrike" baseline="0">
              <a:solidFill>
                <a:srgbClr val="FFFF00"/>
              </a:solidFill>
              <a:latin typeface="Calibri"/>
              <a:cs typeface="Calibri"/>
            </a:rPr>
            <a:t>14</a:t>
          </a:r>
        </a:p>
      </xdr:txBody>
    </xdr:sp>
    <xdr:clientData/>
  </xdr:twoCellAnchor>
  <xdr:twoCellAnchor>
    <xdr:from>
      <xdr:col>8</xdr:col>
      <xdr:colOff>256363</xdr:colOff>
      <xdr:row>19</xdr:row>
      <xdr:rowOff>168612</xdr:rowOff>
    </xdr:from>
    <xdr:to>
      <xdr:col>9</xdr:col>
      <xdr:colOff>399683</xdr:colOff>
      <xdr:row>21</xdr:row>
      <xdr:rowOff>116005</xdr:rowOff>
    </xdr:to>
    <xdr:sp macro="" textlink="">
      <xdr:nvSpPr>
        <xdr:cNvPr id="132" name="AutoShape 23">
          <a:extLst>
            <a:ext uri="{FF2B5EF4-FFF2-40B4-BE49-F238E27FC236}">
              <a16:creationId xmlns:a16="http://schemas.microsoft.com/office/drawing/2014/main" xmlns="" id="{00000000-0008-0000-0200-000084000000}"/>
            </a:ext>
          </a:extLst>
        </xdr:cNvPr>
        <xdr:cNvSpPr>
          <a:spLocks noChangeArrowheads="1"/>
        </xdr:cNvSpPr>
      </xdr:nvSpPr>
      <xdr:spPr bwMode="auto">
        <a:xfrm>
          <a:off x="4950827" y="4221597"/>
          <a:ext cx="755642" cy="355607"/>
        </a:xfrm>
        <a:prstGeom prst="flowChartAlternateProcess">
          <a:avLst/>
        </a:prstGeom>
        <a:solidFill>
          <a:srgbClr val="CC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0" bIns="0" anchor="ctr" upright="1"/>
        <a:lstStyle/>
        <a:p>
          <a:pPr algn="l" rtl="0">
            <a:defRPr sz="1000"/>
          </a:pPr>
          <a:r>
            <a:rPr lang="pt-BR" sz="1200" b="0" i="0" u="none" strike="noStrike" baseline="0">
              <a:solidFill>
                <a:srgbClr val="FF0000"/>
              </a:solidFill>
              <a:latin typeface="Calibri"/>
            </a:rPr>
            <a:t>SANEAGO</a:t>
          </a:r>
        </a:p>
      </xdr:txBody>
    </xdr:sp>
    <xdr:clientData/>
  </xdr:twoCellAnchor>
  <xdr:twoCellAnchor editAs="oneCell">
    <xdr:from>
      <xdr:col>9</xdr:col>
      <xdr:colOff>407127</xdr:colOff>
      <xdr:row>19</xdr:row>
      <xdr:rowOff>120240</xdr:rowOff>
    </xdr:from>
    <xdr:to>
      <xdr:col>10</xdr:col>
      <xdr:colOff>225046</xdr:colOff>
      <xdr:row>21</xdr:row>
      <xdr:rowOff>155551</xdr:rowOff>
    </xdr:to>
    <xdr:sp macro="" textlink="" fLocksText="0">
      <xdr:nvSpPr>
        <xdr:cNvPr id="133" name="Oval 19">
          <a:extLst>
            <a:ext uri="{FF2B5EF4-FFF2-40B4-BE49-F238E27FC236}">
              <a16:creationId xmlns:a16="http://schemas.microsoft.com/office/drawing/2014/main" xmlns="" id="{00000000-0008-0000-0200-000085000000}"/>
            </a:ext>
          </a:extLst>
        </xdr:cNvPr>
        <xdr:cNvSpPr>
          <a:spLocks noChangeArrowheads="1"/>
        </xdr:cNvSpPr>
      </xdr:nvSpPr>
      <xdr:spPr bwMode="auto">
        <a:xfrm>
          <a:off x="5713913" y="4173225"/>
          <a:ext cx="430240" cy="443526"/>
        </a:xfrm>
        <a:prstGeom prst="ellipse">
          <a:avLst/>
        </a:prstGeom>
        <a:solidFill>
          <a:srgbClr val="00FF00"/>
        </a:solidFill>
        <a:ln w="12700">
          <a:noFill/>
          <a:round/>
          <a:headEnd/>
          <a:tailEnd/>
        </a:ln>
        <a:effectLst/>
      </xdr:spPr>
      <xdr:txBody>
        <a:bodyPr vertOverflow="clip" wrap="square" lIns="36576" tIns="32004" rIns="36576" bIns="0" anchor="ctr" upright="1"/>
        <a:lstStyle/>
        <a:p>
          <a:pPr algn="ctr" rtl="0">
            <a:defRPr sz="1000"/>
          </a:pPr>
          <a:r>
            <a:rPr lang="es-ES" sz="1400" b="1" i="0" u="none" strike="noStrike" baseline="0">
              <a:solidFill>
                <a:srgbClr val="FFFF00"/>
              </a:solidFill>
              <a:latin typeface="Calibri"/>
              <a:cs typeface="Calibri"/>
            </a:rPr>
            <a:t>6</a:t>
          </a:r>
        </a:p>
      </xdr:txBody>
    </xdr:sp>
    <xdr:clientData/>
  </xdr:twoCellAnchor>
  <xdr:twoCellAnchor>
    <xdr:from>
      <xdr:col>8</xdr:col>
      <xdr:colOff>181163</xdr:colOff>
      <xdr:row>29</xdr:row>
      <xdr:rowOff>166884</xdr:rowOff>
    </xdr:from>
    <xdr:to>
      <xdr:col>9</xdr:col>
      <xdr:colOff>302071</xdr:colOff>
      <xdr:row>31</xdr:row>
      <xdr:rowOff>114277</xdr:rowOff>
    </xdr:to>
    <xdr:sp macro="" textlink="">
      <xdr:nvSpPr>
        <xdr:cNvPr id="134" name="AutoShape 23">
          <a:extLst>
            <a:ext uri="{FF2B5EF4-FFF2-40B4-BE49-F238E27FC236}">
              <a16:creationId xmlns:a16="http://schemas.microsoft.com/office/drawing/2014/main" xmlns="" id="{00000000-0008-0000-0200-000086000000}"/>
            </a:ext>
          </a:extLst>
        </xdr:cNvPr>
        <xdr:cNvSpPr>
          <a:spLocks noChangeArrowheads="1"/>
        </xdr:cNvSpPr>
      </xdr:nvSpPr>
      <xdr:spPr bwMode="auto">
        <a:xfrm>
          <a:off x="4890746" y="6188801"/>
          <a:ext cx="734742" cy="349559"/>
        </a:xfrm>
        <a:prstGeom prst="flowChartAlternateProcess">
          <a:avLst/>
        </a:prstGeom>
        <a:solidFill>
          <a:srgbClr val="CC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0" bIns="0" anchor="ctr" upright="1"/>
        <a:lstStyle/>
        <a:p>
          <a:pPr algn="l" rtl="0">
            <a:defRPr sz="1000"/>
          </a:pPr>
          <a:r>
            <a:rPr lang="pt-BR" sz="1200" b="0" i="0" u="none" strike="noStrike" baseline="0">
              <a:solidFill>
                <a:srgbClr val="FF0000"/>
              </a:solidFill>
              <a:latin typeface="Calibri"/>
            </a:rPr>
            <a:t>SANEPAR</a:t>
          </a:r>
        </a:p>
      </xdr:txBody>
    </xdr:sp>
    <xdr:clientData/>
  </xdr:twoCellAnchor>
  <xdr:twoCellAnchor editAs="oneCell">
    <xdr:from>
      <xdr:col>9</xdr:col>
      <xdr:colOff>309515</xdr:colOff>
      <xdr:row>29</xdr:row>
      <xdr:rowOff>118512</xdr:rowOff>
    </xdr:from>
    <xdr:to>
      <xdr:col>10</xdr:col>
      <xdr:colOff>118718</xdr:colOff>
      <xdr:row>31</xdr:row>
      <xdr:rowOff>153825</xdr:rowOff>
    </xdr:to>
    <xdr:sp macro="" textlink="" fLocksText="0">
      <xdr:nvSpPr>
        <xdr:cNvPr id="135" name="Oval 20">
          <a:extLst>
            <a:ext uri="{FF2B5EF4-FFF2-40B4-BE49-F238E27FC236}">
              <a16:creationId xmlns:a16="http://schemas.microsoft.com/office/drawing/2014/main" xmlns="" id="{00000000-0008-0000-0200-000087000000}"/>
            </a:ext>
          </a:extLst>
        </xdr:cNvPr>
        <xdr:cNvSpPr>
          <a:spLocks noChangeArrowheads="1"/>
        </xdr:cNvSpPr>
      </xdr:nvSpPr>
      <xdr:spPr bwMode="auto">
        <a:xfrm>
          <a:off x="5632932" y="6140429"/>
          <a:ext cx="423036" cy="437478"/>
        </a:xfrm>
        <a:prstGeom prst="ellipse">
          <a:avLst/>
        </a:prstGeom>
        <a:solidFill>
          <a:srgbClr val="1C9D0B"/>
        </a:solidFill>
        <a:ln w="12700">
          <a:noFill/>
          <a:round/>
          <a:headEnd/>
          <a:tailEnd/>
        </a:ln>
        <a:effectLst/>
      </xdr:spPr>
      <xdr:txBody>
        <a:bodyPr vertOverflow="clip" wrap="square" lIns="36576" tIns="32004" rIns="36576" bIns="0" anchor="ctr" upright="1"/>
        <a:lstStyle/>
        <a:p>
          <a:pPr algn="ctr" rtl="0">
            <a:defRPr sz="1000"/>
          </a:pPr>
          <a:r>
            <a:rPr lang="es-ES" sz="1400" b="1" i="0" u="none" strike="noStrike" baseline="0">
              <a:solidFill>
                <a:srgbClr val="FFFF00"/>
              </a:solidFill>
              <a:latin typeface="Calibri"/>
              <a:cs typeface="Calibri"/>
            </a:rPr>
            <a:t>3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33</xdr:row>
          <xdr:rowOff>152400</xdr:rowOff>
        </xdr:from>
        <xdr:to>
          <xdr:col>4</xdr:col>
          <xdr:colOff>104775</xdr:colOff>
          <xdr:row>35</xdr:row>
          <xdr:rowOff>28575</xdr:rowOff>
        </xdr:to>
        <xdr:sp macro="" textlink="">
          <xdr:nvSpPr>
            <xdr:cNvPr id="18287" name="Check Box 3951" hidden="1">
              <a:extLst>
                <a:ext uri="{63B3BB69-23CF-44E3-9099-C40C66FF867C}">
                  <a14:compatExt spid="_x0000_s18287"/>
                </a:ext>
                <a:ext uri="{FF2B5EF4-FFF2-40B4-BE49-F238E27FC236}">
                  <a16:creationId xmlns:a16="http://schemas.microsoft.com/office/drawing/2014/main" xmlns="" id="{00000000-0008-0000-0200-00006F4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Indicator K51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35</xdr:row>
          <xdr:rowOff>0</xdr:rowOff>
        </xdr:from>
        <xdr:to>
          <xdr:col>4</xdr:col>
          <xdr:colOff>342900</xdr:colOff>
          <xdr:row>36</xdr:row>
          <xdr:rowOff>28575</xdr:rowOff>
        </xdr:to>
        <xdr:sp macro="" textlink="">
          <xdr:nvSpPr>
            <xdr:cNvPr id="18288" name="Check Box 3952" hidden="1">
              <a:extLst>
                <a:ext uri="{63B3BB69-23CF-44E3-9099-C40C66FF867C}">
                  <a14:compatExt spid="_x0000_s18288"/>
                </a:ext>
                <a:ext uri="{FF2B5EF4-FFF2-40B4-BE49-F238E27FC236}">
                  <a16:creationId xmlns:a16="http://schemas.microsoft.com/office/drawing/2014/main" xmlns="" id="{00000000-0008-0000-0200-0000704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Indicator K52</a:t>
              </a:r>
            </a:p>
          </xdr:txBody>
        </xdr:sp>
        <xdr:clientData/>
      </xdr:twoCellAnchor>
    </mc:Choice>
    <mc:Fallback/>
  </mc:AlternateContent>
  <xdr:twoCellAnchor>
    <xdr:from>
      <xdr:col>12</xdr:col>
      <xdr:colOff>61153</xdr:colOff>
      <xdr:row>28</xdr:row>
      <xdr:rowOff>154427</xdr:rowOff>
    </xdr:from>
    <xdr:to>
      <xdr:col>15</xdr:col>
      <xdr:colOff>481230</xdr:colOff>
      <xdr:row>35</xdr:row>
      <xdr:rowOff>48452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GrpSpPr/>
      </xdr:nvGrpSpPr>
      <xdr:grpSpPr>
        <a:xfrm>
          <a:off x="6347653" y="5678927"/>
          <a:ext cx="1788213" cy="1106298"/>
          <a:chOff x="7157220" y="5917052"/>
          <a:chExt cx="1944139" cy="1294200"/>
        </a:xfrm>
      </xdr:grpSpPr>
      <xdr:sp macro="" textlink="">
        <xdr:nvSpPr>
          <xdr:cNvPr id="2" name="1 Rectángulo redondeado">
            <a:extLst>
              <a:ext uri="{FF2B5EF4-FFF2-40B4-BE49-F238E27FC236}">
                <a16:creationId xmlns:a16="http://schemas.microsoft.com/office/drawing/2014/main" xmlns="" id="{00000000-0008-0000-0200-000002000000}"/>
              </a:ext>
            </a:extLst>
          </xdr:cNvPr>
          <xdr:cNvSpPr/>
        </xdr:nvSpPr>
        <xdr:spPr bwMode="auto">
          <a:xfrm>
            <a:off x="7192139" y="5924021"/>
            <a:ext cx="1909220" cy="1287231"/>
          </a:xfrm>
          <a:prstGeom prst="roundRect">
            <a:avLst/>
          </a:prstGeom>
          <a:solidFill>
            <a:schemeClr val="bg1">
              <a:lumMod val="95000"/>
            </a:schemeClr>
          </a:solidFill>
          <a:ln w="12700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horzOverflow="clip" wrap="square" lIns="36576" tIns="32004" rIns="36576" bIns="0" rtlCol="0" anchor="t" upright="1"/>
          <a:lstStyle/>
          <a:p>
            <a:pPr algn="l"/>
            <a:endParaRPr lang="es-ES" sz="1100"/>
          </a:p>
        </xdr:txBody>
      </xdr:sp>
      <xdr:sp macro="" textlink="">
        <xdr:nvSpPr>
          <xdr:cNvPr id="84" name="Oval 13">
            <a:extLst>
              <a:ext uri="{FF2B5EF4-FFF2-40B4-BE49-F238E27FC236}">
                <a16:creationId xmlns:a16="http://schemas.microsoft.com/office/drawing/2014/main" xmlns="" id="{00000000-0008-0000-0200-000054000000}"/>
              </a:ext>
            </a:extLst>
          </xdr:cNvPr>
          <xdr:cNvSpPr>
            <a:spLocks noChangeArrowheads="1"/>
          </xdr:cNvSpPr>
        </xdr:nvSpPr>
        <xdr:spPr bwMode="auto">
          <a:xfrm>
            <a:off x="7468174" y="6311221"/>
            <a:ext cx="327817" cy="337861"/>
          </a:xfrm>
          <a:prstGeom prst="ellipse">
            <a:avLst/>
          </a:prstGeom>
          <a:solidFill>
            <a:srgbClr val="1C9D0B"/>
          </a:solidFill>
          <a:ln w="12700">
            <a:noFill/>
            <a:round/>
            <a:headEnd/>
            <a:tailEnd/>
          </a:ln>
          <a:effectLst/>
        </xdr:spPr>
        <xdr:txBody>
          <a:bodyPr vertOverflow="clip" wrap="square" lIns="36576" tIns="32004" rIns="36576" bIns="0" anchor="ctr" upright="1"/>
          <a:lstStyle/>
          <a:p>
            <a:pPr algn="ctr" rtl="0">
              <a:defRPr sz="1000"/>
            </a:pPr>
            <a:r>
              <a:rPr lang="es-ES" sz="1400" b="1" i="0" u="none" strike="noStrike" baseline="0">
                <a:solidFill>
                  <a:srgbClr val="FFFF00"/>
                </a:solidFill>
                <a:latin typeface="Calibri"/>
                <a:cs typeface="Calibri"/>
              </a:rPr>
              <a:t>H</a:t>
            </a:r>
          </a:p>
        </xdr:txBody>
      </xdr:sp>
      <xdr:sp macro="" textlink="">
        <xdr:nvSpPr>
          <xdr:cNvPr id="85" name="AutoShape 37">
            <a:extLst>
              <a:ext uri="{FF2B5EF4-FFF2-40B4-BE49-F238E27FC236}">
                <a16:creationId xmlns:a16="http://schemas.microsoft.com/office/drawing/2014/main" xmlns="" id="{00000000-0008-0000-0200-000055000000}"/>
              </a:ext>
            </a:extLst>
          </xdr:cNvPr>
          <xdr:cNvSpPr>
            <a:spLocks noChangeArrowheads="1"/>
          </xdr:cNvSpPr>
        </xdr:nvSpPr>
        <xdr:spPr bwMode="auto">
          <a:xfrm>
            <a:off x="7779376" y="6353222"/>
            <a:ext cx="387161" cy="272030"/>
          </a:xfrm>
          <a:prstGeom prst="flowChartAlternateProcess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36576" tIns="32004" rIns="0" bIns="0" anchor="ctr" upright="1"/>
          <a:lstStyle/>
          <a:p>
            <a:pPr marL="0" indent="0" algn="ctr" rtl="0">
              <a:defRPr sz="1000"/>
            </a:pPr>
            <a:r>
              <a:rPr lang="en-US" sz="1200" b="1">
                <a:solidFill>
                  <a:srgbClr val="009900"/>
                </a:solidFill>
                <a:latin typeface="+mn-lt"/>
                <a:ea typeface="+mn-ea"/>
                <a:cs typeface="+mn-cs"/>
              </a:rPr>
              <a:t>High</a:t>
            </a:r>
            <a:endParaRPr lang="pt-BR" sz="1200" b="1">
              <a:solidFill>
                <a:srgbClr val="009900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86" name="AutoShape 21">
            <a:extLst>
              <a:ext uri="{FF2B5EF4-FFF2-40B4-BE49-F238E27FC236}">
                <a16:creationId xmlns:a16="http://schemas.microsoft.com/office/drawing/2014/main" xmlns="" id="{00000000-0008-0000-0200-000056000000}"/>
              </a:ext>
            </a:extLst>
          </xdr:cNvPr>
          <xdr:cNvSpPr>
            <a:spLocks noChangeArrowheads="1"/>
          </xdr:cNvSpPr>
        </xdr:nvSpPr>
        <xdr:spPr bwMode="auto">
          <a:xfrm>
            <a:off x="8249325" y="6849341"/>
            <a:ext cx="649159" cy="276802"/>
          </a:xfrm>
          <a:prstGeom prst="flowChartAlternateProcess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36576" tIns="32004" rIns="0" bIns="0" anchor="ctr" upright="1"/>
          <a:lstStyle/>
          <a:p>
            <a:pPr marL="0" indent="0" algn="ctr" rtl="0">
              <a:defRPr sz="1000"/>
            </a:pPr>
            <a:r>
              <a:rPr lang="en-US" sz="1200" b="1">
                <a:solidFill>
                  <a:srgbClr val="009900"/>
                </a:solidFill>
                <a:latin typeface="+mn-lt"/>
                <a:ea typeface="+mn-ea"/>
                <a:cs typeface="+mn-cs"/>
              </a:rPr>
              <a:t>Medium</a:t>
            </a:r>
            <a:endParaRPr lang="es-ES" sz="1200" b="1">
              <a:solidFill>
                <a:srgbClr val="009900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87" name="Oval 11">
            <a:extLst>
              <a:ext uri="{FF2B5EF4-FFF2-40B4-BE49-F238E27FC236}">
                <a16:creationId xmlns:a16="http://schemas.microsoft.com/office/drawing/2014/main" xmlns="" id="{00000000-0008-0000-0200-000057000000}"/>
              </a:ext>
            </a:extLst>
          </xdr:cNvPr>
          <xdr:cNvSpPr>
            <a:spLocks noChangeArrowheads="1"/>
          </xdr:cNvSpPr>
        </xdr:nvSpPr>
        <xdr:spPr bwMode="auto">
          <a:xfrm>
            <a:off x="7921235" y="6821251"/>
            <a:ext cx="337342" cy="341080"/>
          </a:xfrm>
          <a:prstGeom prst="ellipse">
            <a:avLst/>
          </a:prstGeom>
          <a:solidFill>
            <a:srgbClr val="00FF00"/>
          </a:solidFill>
          <a:ln w="12700">
            <a:noFill/>
            <a:round/>
            <a:headEnd/>
            <a:tailEnd/>
          </a:ln>
          <a:effectLst/>
        </xdr:spPr>
        <xdr:txBody>
          <a:bodyPr vertOverflow="clip" wrap="square" lIns="36576" tIns="32004" rIns="36576" bIns="0" anchor="ctr" upright="1"/>
          <a:lstStyle/>
          <a:p>
            <a:pPr algn="ctr" rtl="0">
              <a:defRPr sz="1000"/>
            </a:pPr>
            <a:r>
              <a:rPr lang="es-ES" sz="1400" b="1" i="0" u="none" strike="noStrike" baseline="0">
                <a:solidFill>
                  <a:srgbClr val="FFFF00"/>
                </a:solidFill>
                <a:latin typeface="Calibri"/>
                <a:cs typeface="Calibri"/>
              </a:rPr>
              <a:t>M</a:t>
            </a:r>
          </a:p>
        </xdr:txBody>
      </xdr:sp>
      <xdr:sp macro="" textlink="">
        <xdr:nvSpPr>
          <xdr:cNvPr id="88" name="Oval 9">
            <a:extLst>
              <a:ext uri="{FF2B5EF4-FFF2-40B4-BE49-F238E27FC236}">
                <a16:creationId xmlns:a16="http://schemas.microsoft.com/office/drawing/2014/main" xmlns="" id="{00000000-0008-0000-0200-000058000000}"/>
              </a:ext>
            </a:extLst>
          </xdr:cNvPr>
          <xdr:cNvSpPr>
            <a:spLocks noChangeArrowheads="1"/>
          </xdr:cNvSpPr>
        </xdr:nvSpPr>
        <xdr:spPr bwMode="auto">
          <a:xfrm>
            <a:off x="8310420" y="6323814"/>
            <a:ext cx="326281" cy="337861"/>
          </a:xfrm>
          <a:prstGeom prst="ellipse">
            <a:avLst/>
          </a:prstGeom>
          <a:solidFill>
            <a:srgbClr val="FF0000"/>
          </a:solidFill>
          <a:ln w="12700">
            <a:noFill/>
            <a:round/>
            <a:headEnd/>
            <a:tailEnd/>
          </a:ln>
          <a:effectLst/>
        </xdr:spPr>
        <xdr:txBody>
          <a:bodyPr vertOverflow="clip" wrap="square" lIns="36576" tIns="32004" rIns="36576" bIns="0" anchor="ctr" upright="1"/>
          <a:lstStyle/>
          <a:p>
            <a:pPr algn="ctr" rtl="0">
              <a:defRPr sz="1000"/>
            </a:pPr>
            <a:r>
              <a:rPr lang="es-ES" sz="1400" b="1" i="0" u="none" strike="noStrike" baseline="0">
                <a:solidFill>
                  <a:srgbClr val="FFFF00"/>
                </a:solidFill>
                <a:latin typeface="Calibri"/>
                <a:cs typeface="Calibri"/>
              </a:rPr>
              <a:t>L</a:t>
            </a:r>
          </a:p>
        </xdr:txBody>
      </xdr:sp>
      <xdr:sp macro="" textlink="">
        <xdr:nvSpPr>
          <xdr:cNvPr id="89" name="AutoShape 15">
            <a:extLst>
              <a:ext uri="{FF2B5EF4-FFF2-40B4-BE49-F238E27FC236}">
                <a16:creationId xmlns:a16="http://schemas.microsoft.com/office/drawing/2014/main" xmlns="" id="{00000000-0008-0000-0200-000059000000}"/>
              </a:ext>
            </a:extLst>
          </xdr:cNvPr>
          <xdr:cNvSpPr>
            <a:spLocks noChangeArrowheads="1"/>
          </xdr:cNvSpPr>
        </xdr:nvSpPr>
        <xdr:spPr bwMode="auto">
          <a:xfrm>
            <a:off x="8664175" y="6354267"/>
            <a:ext cx="374369" cy="275261"/>
          </a:xfrm>
          <a:prstGeom prst="flowChartAlternateProcess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36576" tIns="32004" rIns="0" bIns="0" anchor="ctr" upright="1"/>
          <a:lstStyle/>
          <a:p>
            <a:pPr marL="0" indent="0" algn="ctr" rtl="0">
              <a:defRPr sz="1000"/>
            </a:pPr>
            <a:r>
              <a:rPr lang="en-US" sz="1200" b="1">
                <a:solidFill>
                  <a:srgbClr val="009900"/>
                </a:solidFill>
                <a:latin typeface="+mn-lt"/>
                <a:ea typeface="+mn-ea"/>
                <a:cs typeface="+mn-cs"/>
              </a:rPr>
              <a:t>Low</a:t>
            </a:r>
            <a:endParaRPr lang="es-ES" sz="1200" b="1">
              <a:solidFill>
                <a:srgbClr val="009900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92" name="AutoShape 15">
            <a:extLst>
              <a:ext uri="{FF2B5EF4-FFF2-40B4-BE49-F238E27FC236}">
                <a16:creationId xmlns:a16="http://schemas.microsoft.com/office/drawing/2014/main" xmlns="" id="{00000000-0008-0000-0200-00005C000000}"/>
              </a:ext>
            </a:extLst>
          </xdr:cNvPr>
          <xdr:cNvSpPr>
            <a:spLocks noChangeArrowheads="1"/>
          </xdr:cNvSpPr>
        </xdr:nvSpPr>
        <xdr:spPr bwMode="auto">
          <a:xfrm>
            <a:off x="7157220" y="5917052"/>
            <a:ext cx="1914036" cy="427629"/>
          </a:xfrm>
          <a:prstGeom prst="flowChartAlternateProcess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36576" tIns="32004" rIns="0" bIns="0" anchor="ctr" upright="1"/>
          <a:lstStyle/>
          <a:p>
            <a:pPr algn="ctr" rtl="0">
              <a:defRPr sz="1000"/>
            </a:pPr>
            <a:r>
              <a:rPr lang="es-ES" sz="1500" b="1">
                <a:solidFill>
                  <a:srgbClr val="009900"/>
                </a:solidFill>
              </a:rPr>
              <a:t>Levels of </a:t>
            </a:r>
            <a:r>
              <a:rPr lang="es-ES" sz="1500" b="1" i="0" u="none" strike="noStrike" baseline="0">
                <a:solidFill>
                  <a:srgbClr val="009900"/>
                </a:solidFill>
                <a:latin typeface="+mn-lt"/>
                <a:ea typeface="+mn-ea"/>
                <a:cs typeface="+mn-cs"/>
              </a:rPr>
              <a:t>sustainability</a:t>
            </a:r>
            <a:endParaRPr lang="pt-BR" sz="1500" b="1" i="0" u="none" strike="noStrike" baseline="0">
              <a:solidFill>
                <a:srgbClr val="009900"/>
              </a:solidFill>
              <a:latin typeface="+mn-lt"/>
              <a:ea typeface="+mn-ea"/>
              <a:cs typeface="+mn-cs"/>
            </a:endParaRPr>
          </a:p>
        </xdr:txBody>
      </xdr:sp>
    </xdr:grpSp>
    <xdr:clientData/>
  </xdr:twoCellAnchor>
  <xdr:twoCellAnchor>
    <xdr:from>
      <xdr:col>0</xdr:col>
      <xdr:colOff>0</xdr:colOff>
      <xdr:row>0</xdr:row>
      <xdr:rowOff>0</xdr:rowOff>
    </xdr:from>
    <xdr:to>
      <xdr:col>3</xdr:col>
      <xdr:colOff>76200</xdr:colOff>
      <xdr:row>6</xdr:row>
      <xdr:rowOff>200525</xdr:rowOff>
    </xdr:to>
    <xdr:sp macro="" textlink="">
      <xdr:nvSpPr>
        <xdr:cNvPr id="4" name="Rectángulo 3">
          <a:extLst>
            <a:ext uri="{FF2B5EF4-FFF2-40B4-BE49-F238E27FC236}">
              <a16:creationId xmlns:a16="http://schemas.microsoft.com/office/drawing/2014/main" xmlns="" id="{00000000-0008-0000-0200-000004000000}"/>
            </a:ext>
          </a:extLst>
        </xdr:cNvPr>
        <xdr:cNvSpPr/>
      </xdr:nvSpPr>
      <xdr:spPr bwMode="auto">
        <a:xfrm>
          <a:off x="0" y="0"/>
          <a:ext cx="1713832" cy="1487236"/>
        </a:xfrm>
        <a:prstGeom prst="rect">
          <a:avLst/>
        </a:prstGeom>
        <a:solidFill>
          <a:schemeClr val="bg1"/>
        </a:solidFill>
        <a:ln w="12700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36576" tIns="32004" rIns="36576" bIns="0" rtlCol="0" anchor="t" upright="1"/>
        <a:lstStyle/>
        <a:p>
          <a:pPr algn="l"/>
          <a:endParaRPr lang="en-US" sz="1100"/>
        </a:p>
      </xdr:txBody>
    </xdr:sp>
    <xdr:clientData/>
  </xdr:twoCellAnchor>
  <xdr:twoCellAnchor editAs="absolute">
    <xdr:from>
      <xdr:col>1</xdr:col>
      <xdr:colOff>429937</xdr:colOff>
      <xdr:row>0</xdr:row>
      <xdr:rowOff>0</xdr:rowOff>
    </xdr:from>
    <xdr:to>
      <xdr:col>2</xdr:col>
      <xdr:colOff>580333</xdr:colOff>
      <xdr:row>4</xdr:row>
      <xdr:rowOff>98353</xdr:rowOff>
    </xdr:to>
    <xdr:pic>
      <xdr:nvPicPr>
        <xdr:cNvPr id="78" name="Picture 5">
          <a:extLst>
            <a:ext uri="{FF2B5EF4-FFF2-40B4-BE49-F238E27FC236}">
              <a16:creationId xmlns:a16="http://schemas.microsoft.com/office/drawing/2014/main" xmlns="" id="{00000000-0008-0000-0200-00004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clrChange>
            <a:clrFrom>
              <a:srgbClr val="FCFEFF"/>
            </a:clrFrom>
            <a:clrTo>
              <a:srgbClr val="FCFE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9937" y="0"/>
          <a:ext cx="919080" cy="95059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1</xdr:col>
      <xdr:colOff>90571</xdr:colOff>
      <xdr:row>4</xdr:row>
      <xdr:rowOff>140704</xdr:rowOff>
    </xdr:from>
    <xdr:to>
      <xdr:col>2</xdr:col>
      <xdr:colOff>833521</xdr:colOff>
      <xdr:row>6</xdr:row>
      <xdr:rowOff>168116</xdr:rowOff>
    </xdr:to>
    <xdr:pic>
      <xdr:nvPicPr>
        <xdr:cNvPr id="79" name="Picture 3">
          <a:extLst>
            <a:ext uri="{FF2B5EF4-FFF2-40B4-BE49-F238E27FC236}">
              <a16:creationId xmlns:a16="http://schemas.microsoft.com/office/drawing/2014/main" xmlns="" id="{00000000-0008-0000-0200-00004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571" y="992941"/>
          <a:ext cx="1511634" cy="461886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0</xdr:row>
      <xdr:rowOff>0</xdr:rowOff>
    </xdr:from>
    <xdr:to>
      <xdr:col>17</xdr:col>
      <xdr:colOff>161925</xdr:colOff>
      <xdr:row>52</xdr:row>
      <xdr:rowOff>142875</xdr:rowOff>
    </xdr:to>
    <xdr:graphicFrame macro="">
      <xdr:nvGraphicFramePr>
        <xdr:cNvPr id="18449" name="Gráfico 3">
          <a:extLst>
            <a:ext uri="{FF2B5EF4-FFF2-40B4-BE49-F238E27FC236}">
              <a16:creationId xmlns:a16="http://schemas.microsoft.com/office/drawing/2014/main" xmlns="" id="{00000000-0008-0000-0300-0000114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Ângulos">
      <a:majorFont>
        <a:latin typeface="Franklin Gothic Medium"/>
        <a:ea typeface=""/>
        <a:cs typeface=""/>
        <a:font script="Jpan" typeface="HG創英角ｺﾞｼｯｸUB"/>
        <a:font script="Hang" typeface="돋움"/>
        <a:font script="Hans" typeface="微软雅黑"/>
        <a:font script="Hant" typeface="微軟正黑體"/>
        <a:font script="Arab" typeface="Tahoma"/>
        <a:font script="Hebr" typeface="Aharoni"/>
        <a:font script="Thai" typeface="Lily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Franklin Gothic Book"/>
        <a:ea typeface=""/>
        <a:cs typeface=""/>
        <a:font script="Jpan" typeface="ＭＳ Ｐゴシック"/>
        <a:font script="Hang" typeface="맑은 고딕"/>
        <a:font script="Hans" typeface="隶书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12700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36576" tIns="32004" rIns="36576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12700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36576" tIns="32004" rIns="36576" bIns="0" upright="1"/>
      <a:lstStyle/>
    </a:lnDef>
  </a:objectDefaults>
  <a:extraClrSchemeLst/>
</a:theme>
</file>

<file path=xl/theme/themeOverride1.xml><?xml version="1.0" encoding="utf-8"?>
<a:themeOverride xmlns:a="http://schemas.openxmlformats.org/drawingml/2006/main">
  <a:clrScheme name="Escritório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Ângulos">
    <a:majorFont>
      <a:latin typeface="Franklin Gothic Medium"/>
      <a:ea typeface=""/>
      <a:cs typeface=""/>
      <a:font script="Jpan" typeface="HG創英角ｺﾞｼｯｸUB"/>
      <a:font script="Hang" typeface="돋움"/>
      <a:font script="Hans" typeface="微软雅黑"/>
      <a:font script="Hant" typeface="微軟正黑體"/>
      <a:font script="Arab" typeface="Tahoma"/>
      <a:font script="Hebr" typeface="Aharoni"/>
      <a:font script="Thai" typeface="LilyUPC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ajorFont>
    <a:minorFont>
      <a:latin typeface="Franklin Gothic Book"/>
      <a:ea typeface=""/>
      <a:cs typeface=""/>
      <a:font script="Jpan" typeface="ＭＳ Ｐゴシック"/>
      <a:font script="Hang" typeface="맑은 고딕"/>
      <a:font script="Hans" typeface="隶书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Escritório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es.wikipedia.org/wiki/Argentina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"/>
  <dimension ref="A1:IV38"/>
  <sheetViews>
    <sheetView workbookViewId="0">
      <selection activeCell="F22" sqref="F22"/>
    </sheetView>
  </sheetViews>
  <sheetFormatPr defaultColWidth="8.875" defaultRowHeight="14.25"/>
  <cols>
    <col min="1" max="1" width="11.5" customWidth="1"/>
    <col min="7" max="7" width="10.625" customWidth="1"/>
    <col min="8" max="8" width="15.625" customWidth="1"/>
    <col min="9" max="9" width="10.875" customWidth="1"/>
    <col min="88" max="88" width="14.125" customWidth="1"/>
    <col min="97" max="97" width="8.125" customWidth="1"/>
    <col min="98" max="98" width="22.125" customWidth="1"/>
    <col min="117" max="117" width="13.875" customWidth="1"/>
    <col min="170" max="170" width="14.5" customWidth="1"/>
    <col min="171" max="171" width="14.375" customWidth="1"/>
    <col min="172" max="173" width="20.5" customWidth="1"/>
    <col min="174" max="174" width="18.5" customWidth="1"/>
    <col min="175" max="175" width="10.875" customWidth="1"/>
    <col min="176" max="176" width="12.875" customWidth="1"/>
    <col min="177" max="177" width="11.5" customWidth="1"/>
    <col min="178" max="178" width="16.375" customWidth="1"/>
    <col min="179" max="180" width="16.125" customWidth="1"/>
    <col min="181" max="181" width="15.875" customWidth="1"/>
    <col min="182" max="182" width="13.375" customWidth="1"/>
    <col min="183" max="184" width="15.125" customWidth="1"/>
    <col min="185" max="187" width="10" customWidth="1"/>
    <col min="190" max="191" width="10.125" customWidth="1"/>
    <col min="192" max="192" width="14" customWidth="1"/>
    <col min="193" max="193" width="7.5" customWidth="1"/>
    <col min="194" max="194" width="14.875" customWidth="1"/>
    <col min="195" max="196" width="11.375" customWidth="1"/>
  </cols>
  <sheetData>
    <row r="1" spans="1:256" ht="15">
      <c r="A1" t="s">
        <v>0</v>
      </c>
      <c r="B1" t="s">
        <v>1</v>
      </c>
      <c r="C1" t="s">
        <v>2</v>
      </c>
      <c r="D1" s="27" t="s">
        <v>3</v>
      </c>
      <c r="E1" s="27" t="s">
        <v>297</v>
      </c>
      <c r="F1" s="27" t="s">
        <v>4</v>
      </c>
      <c r="G1" s="2" t="s">
        <v>5</v>
      </c>
      <c r="H1" s="27" t="s">
        <v>284</v>
      </c>
      <c r="I1" s="27" t="s">
        <v>290</v>
      </c>
      <c r="J1" t="s">
        <v>6</v>
      </c>
      <c r="K1" t="s">
        <v>7</v>
      </c>
      <c r="L1" t="s">
        <v>8</v>
      </c>
      <c r="M1" t="s">
        <v>9</v>
      </c>
      <c r="N1" t="s">
        <v>10</v>
      </c>
      <c r="O1" t="s">
        <v>11</v>
      </c>
      <c r="P1" t="s">
        <v>12</v>
      </c>
      <c r="Q1" t="s">
        <v>13</v>
      </c>
      <c r="R1" t="s">
        <v>14</v>
      </c>
      <c r="S1" t="s">
        <v>15</v>
      </c>
      <c r="T1" t="s">
        <v>16</v>
      </c>
      <c r="U1" t="s">
        <v>17</v>
      </c>
      <c r="V1" t="s">
        <v>18</v>
      </c>
      <c r="W1" t="s">
        <v>19</v>
      </c>
      <c r="X1" t="s">
        <v>20</v>
      </c>
      <c r="Y1" t="s">
        <v>21</v>
      </c>
      <c r="Z1" t="s">
        <v>22</v>
      </c>
      <c r="AA1" t="s">
        <v>23</v>
      </c>
      <c r="AB1" t="s">
        <v>24</v>
      </c>
      <c r="AC1" t="s">
        <v>25</v>
      </c>
      <c r="AD1" t="s">
        <v>26</v>
      </c>
      <c r="AE1" t="s">
        <v>27</v>
      </c>
      <c r="AF1" t="s">
        <v>28</v>
      </c>
      <c r="AG1" t="s">
        <v>29</v>
      </c>
      <c r="AH1" t="s">
        <v>30</v>
      </c>
      <c r="AI1" t="s">
        <v>31</v>
      </c>
      <c r="AJ1" t="s">
        <v>32</v>
      </c>
      <c r="AK1" t="s">
        <v>33</v>
      </c>
      <c r="AL1" t="s">
        <v>34</v>
      </c>
      <c r="AM1" t="s">
        <v>35</v>
      </c>
      <c r="AN1" t="s">
        <v>36</v>
      </c>
      <c r="AO1" t="s">
        <v>37</v>
      </c>
      <c r="AP1" t="s">
        <v>38</v>
      </c>
      <c r="AQ1" t="s">
        <v>39</v>
      </c>
      <c r="AR1" t="s">
        <v>40</v>
      </c>
      <c r="AS1" t="s">
        <v>41</v>
      </c>
      <c r="AT1" t="s">
        <v>42</v>
      </c>
      <c r="AU1" t="s">
        <v>43</v>
      </c>
      <c r="AV1" t="s">
        <v>44</v>
      </c>
      <c r="AW1" t="s">
        <v>45</v>
      </c>
      <c r="AX1" t="s">
        <v>46</v>
      </c>
      <c r="AY1" t="s">
        <v>47</v>
      </c>
      <c r="AZ1" t="s">
        <v>48</v>
      </c>
      <c r="BA1" t="s">
        <v>49</v>
      </c>
      <c r="BB1" t="s">
        <v>50</v>
      </c>
      <c r="BC1" t="s">
        <v>51</v>
      </c>
      <c r="BD1" t="s">
        <v>52</v>
      </c>
      <c r="BE1" t="s">
        <v>53</v>
      </c>
      <c r="BF1" t="s">
        <v>54</v>
      </c>
      <c r="BG1" t="s">
        <v>55</v>
      </c>
      <c r="BH1" t="s">
        <v>56</v>
      </c>
      <c r="BI1" t="s">
        <v>57</v>
      </c>
      <c r="BJ1" t="s">
        <v>58</v>
      </c>
      <c r="BK1" t="s">
        <v>59</v>
      </c>
      <c r="BL1" t="s">
        <v>60</v>
      </c>
      <c r="BM1" t="s">
        <v>61</v>
      </c>
      <c r="BN1" t="s">
        <v>62</v>
      </c>
      <c r="BO1" t="s">
        <v>63</v>
      </c>
      <c r="BP1" t="s">
        <v>64</v>
      </c>
      <c r="BQ1" t="s">
        <v>65</v>
      </c>
      <c r="BR1" t="s">
        <v>66</v>
      </c>
      <c r="BS1" t="s">
        <v>67</v>
      </c>
      <c r="BT1" t="s">
        <v>68</v>
      </c>
      <c r="BU1" t="s">
        <v>69</v>
      </c>
      <c r="BV1" t="s">
        <v>70</v>
      </c>
      <c r="BW1" t="s">
        <v>71</v>
      </c>
      <c r="BX1" t="s">
        <v>72</v>
      </c>
      <c r="BY1" t="s">
        <v>73</v>
      </c>
      <c r="BZ1" t="s">
        <v>74</v>
      </c>
      <c r="CA1" t="s">
        <v>75</v>
      </c>
      <c r="CB1" t="s">
        <v>76</v>
      </c>
      <c r="CC1" t="s">
        <v>77</v>
      </c>
      <c r="CD1" t="s">
        <v>78</v>
      </c>
      <c r="CE1" t="s">
        <v>79</v>
      </c>
      <c r="CF1" t="s">
        <v>80</v>
      </c>
      <c r="CG1" t="s">
        <v>81</v>
      </c>
      <c r="CH1" t="s">
        <v>82</v>
      </c>
      <c r="CI1" t="s">
        <v>83</v>
      </c>
      <c r="CJ1" t="s">
        <v>84</v>
      </c>
      <c r="CK1" t="s">
        <v>85</v>
      </c>
      <c r="CL1" t="s">
        <v>86</v>
      </c>
      <c r="CM1" t="s">
        <v>87</v>
      </c>
      <c r="CN1" t="s">
        <v>88</v>
      </c>
      <c r="CO1" t="s">
        <v>89</v>
      </c>
      <c r="CP1" t="s">
        <v>90</v>
      </c>
      <c r="CQ1" t="s">
        <v>91</v>
      </c>
      <c r="CR1" t="s">
        <v>92</v>
      </c>
      <c r="CS1" t="s">
        <v>93</v>
      </c>
      <c r="CT1" s="27" t="s">
        <v>283</v>
      </c>
      <c r="CU1" t="s">
        <v>94</v>
      </c>
      <c r="CV1" t="s">
        <v>95</v>
      </c>
      <c r="CW1" t="s">
        <v>96</v>
      </c>
      <c r="CX1" t="s">
        <v>97</v>
      </c>
      <c r="CY1" t="s">
        <v>98</v>
      </c>
      <c r="CZ1" t="s">
        <v>99</v>
      </c>
      <c r="DA1" t="s">
        <v>100</v>
      </c>
      <c r="DB1" t="s">
        <v>101</v>
      </c>
      <c r="DC1" t="s">
        <v>102</v>
      </c>
      <c r="DD1" t="s">
        <v>103</v>
      </c>
      <c r="DE1" t="s">
        <v>104</v>
      </c>
      <c r="DF1" t="s">
        <v>105</v>
      </c>
      <c r="DG1" t="s">
        <v>106</v>
      </c>
      <c r="DH1" t="s">
        <v>107</v>
      </c>
      <c r="DI1" t="s">
        <v>108</v>
      </c>
      <c r="DJ1" t="s">
        <v>109</v>
      </c>
      <c r="DK1" t="s">
        <v>110</v>
      </c>
      <c r="DL1" t="s">
        <v>111</v>
      </c>
      <c r="DM1" t="s">
        <v>112</v>
      </c>
      <c r="DN1" t="s">
        <v>113</v>
      </c>
      <c r="DO1" t="s">
        <v>114</v>
      </c>
      <c r="DP1" t="s">
        <v>115</v>
      </c>
      <c r="DQ1" t="s">
        <v>116</v>
      </c>
      <c r="DR1" t="s">
        <v>117</v>
      </c>
      <c r="DS1" t="s">
        <v>118</v>
      </c>
      <c r="DT1" t="s">
        <v>119</v>
      </c>
      <c r="DU1" t="s">
        <v>120</v>
      </c>
      <c r="DV1" t="s">
        <v>121</v>
      </c>
      <c r="DW1" t="s">
        <v>122</v>
      </c>
      <c r="DX1" t="s">
        <v>123</v>
      </c>
      <c r="DY1">
        <v>0</v>
      </c>
      <c r="DZ1" t="s">
        <v>124</v>
      </c>
      <c r="EA1" t="s">
        <v>125</v>
      </c>
      <c r="EB1" t="s">
        <v>126</v>
      </c>
      <c r="EC1" t="s">
        <v>127</v>
      </c>
      <c r="ED1" t="s">
        <v>128</v>
      </c>
      <c r="EE1" t="s">
        <v>129</v>
      </c>
      <c r="EF1" t="s">
        <v>130</v>
      </c>
      <c r="EG1" t="s">
        <v>131</v>
      </c>
      <c r="EH1" t="s">
        <v>132</v>
      </c>
      <c r="EI1" t="s">
        <v>133</v>
      </c>
      <c r="EJ1" t="s">
        <v>134</v>
      </c>
      <c r="EK1" t="s">
        <v>135</v>
      </c>
      <c r="EL1" t="s">
        <v>136</v>
      </c>
      <c r="EM1" t="s">
        <v>137</v>
      </c>
      <c r="EN1" t="s">
        <v>138</v>
      </c>
      <c r="EO1" t="s">
        <v>139</v>
      </c>
      <c r="EP1" t="s">
        <v>140</v>
      </c>
      <c r="EQ1" t="s">
        <v>141</v>
      </c>
      <c r="ER1" t="s">
        <v>142</v>
      </c>
      <c r="ES1" t="s">
        <v>143</v>
      </c>
      <c r="ET1" t="s">
        <v>144</v>
      </c>
      <c r="EU1" t="s">
        <v>145</v>
      </c>
      <c r="EV1" t="s">
        <v>146</v>
      </c>
      <c r="EW1" t="s">
        <v>147</v>
      </c>
      <c r="EX1" t="s">
        <v>148</v>
      </c>
      <c r="EY1" t="s">
        <v>149</v>
      </c>
      <c r="EZ1" t="s">
        <v>150</v>
      </c>
      <c r="FA1" t="s">
        <v>151</v>
      </c>
      <c r="FB1" t="s">
        <v>152</v>
      </c>
      <c r="FC1" t="s">
        <v>153</v>
      </c>
      <c r="FD1" t="s">
        <v>154</v>
      </c>
      <c r="FE1" t="s">
        <v>155</v>
      </c>
      <c r="FF1" t="s">
        <v>156</v>
      </c>
      <c r="FG1" t="s">
        <v>157</v>
      </c>
      <c r="FH1" t="s">
        <v>158</v>
      </c>
      <c r="FI1" t="s">
        <v>159</v>
      </c>
      <c r="FJ1" t="s">
        <v>160</v>
      </c>
      <c r="FK1" t="s">
        <v>161</v>
      </c>
      <c r="FL1" t="s">
        <v>162</v>
      </c>
      <c r="FM1" t="s">
        <v>163</v>
      </c>
      <c r="FN1" s="2" t="s">
        <v>164</v>
      </c>
      <c r="FO1" s="2" t="s">
        <v>308</v>
      </c>
      <c r="FP1" s="2" t="s">
        <v>304</v>
      </c>
      <c r="FQ1" s="2" t="s">
        <v>309</v>
      </c>
      <c r="FR1" s="23" t="s">
        <v>322</v>
      </c>
      <c r="FS1" s="2" t="s">
        <v>307</v>
      </c>
      <c r="FT1" s="2" t="s">
        <v>306</v>
      </c>
      <c r="FU1" s="23" t="s">
        <v>323</v>
      </c>
      <c r="FV1" s="27" t="s">
        <v>165</v>
      </c>
      <c r="FW1" s="2" t="s">
        <v>166</v>
      </c>
      <c r="FX1" s="2" t="s">
        <v>300</v>
      </c>
      <c r="FY1" s="27" t="s">
        <v>321</v>
      </c>
      <c r="FZ1" s="2" t="s">
        <v>301</v>
      </c>
      <c r="GA1" s="27" t="s">
        <v>320</v>
      </c>
      <c r="GB1" s="1" t="s">
        <v>327</v>
      </c>
      <c r="GC1" s="2" t="s">
        <v>313</v>
      </c>
      <c r="GD1" s="1" t="s">
        <v>328</v>
      </c>
      <c r="GE1" s="1" t="s">
        <v>329</v>
      </c>
      <c r="GF1" s="2" t="s">
        <v>315</v>
      </c>
      <c r="GG1" s="2" t="s">
        <v>314</v>
      </c>
      <c r="GH1" s="2" t="s">
        <v>317</v>
      </c>
      <c r="GI1" s="2" t="s">
        <v>318</v>
      </c>
      <c r="GJ1" s="27" t="s">
        <v>319</v>
      </c>
      <c r="GK1" s="2" t="s">
        <v>325</v>
      </c>
      <c r="GL1" s="2" t="s">
        <v>316</v>
      </c>
      <c r="GM1" s="27" t="s">
        <v>316</v>
      </c>
      <c r="GN1" s="27" t="s">
        <v>324</v>
      </c>
      <c r="GO1" t="s">
        <v>167</v>
      </c>
      <c r="GP1" t="s">
        <v>168</v>
      </c>
      <c r="GQ1" t="s">
        <v>169</v>
      </c>
      <c r="GR1" t="s">
        <v>170</v>
      </c>
      <c r="GS1" t="s">
        <v>171</v>
      </c>
      <c r="GT1" t="s">
        <v>172</v>
      </c>
      <c r="GU1" t="s">
        <v>173</v>
      </c>
      <c r="GV1" t="s">
        <v>174</v>
      </c>
      <c r="GW1" t="s">
        <v>175</v>
      </c>
      <c r="GX1" t="s">
        <v>176</v>
      </c>
      <c r="GY1" t="s">
        <v>177</v>
      </c>
      <c r="GZ1" t="s">
        <v>178</v>
      </c>
      <c r="HA1" t="s">
        <v>179</v>
      </c>
      <c r="HB1" t="s">
        <v>180</v>
      </c>
      <c r="HC1" t="s">
        <v>181</v>
      </c>
      <c r="HD1" t="s">
        <v>182</v>
      </c>
      <c r="HE1" t="s">
        <v>183</v>
      </c>
      <c r="HF1" t="s">
        <v>184</v>
      </c>
      <c r="HG1" t="s">
        <v>185</v>
      </c>
      <c r="HH1" t="s">
        <v>186</v>
      </c>
      <c r="HI1" t="s">
        <v>187</v>
      </c>
      <c r="HJ1" t="s">
        <v>188</v>
      </c>
      <c r="HK1" t="s">
        <v>189</v>
      </c>
      <c r="HL1" t="s">
        <v>190</v>
      </c>
      <c r="HM1" t="s">
        <v>191</v>
      </c>
      <c r="HN1" t="s">
        <v>192</v>
      </c>
      <c r="HO1" t="s">
        <v>193</v>
      </c>
      <c r="HP1" t="s">
        <v>194</v>
      </c>
      <c r="HQ1" t="s">
        <v>195</v>
      </c>
      <c r="HR1" t="s">
        <v>196</v>
      </c>
      <c r="HS1" t="s">
        <v>197</v>
      </c>
      <c r="HT1" t="s">
        <v>198</v>
      </c>
      <c r="HU1" t="s">
        <v>199</v>
      </c>
      <c r="HV1" t="s">
        <v>200</v>
      </c>
      <c r="HW1" t="s">
        <v>201</v>
      </c>
      <c r="HX1" t="s">
        <v>202</v>
      </c>
      <c r="HY1" t="s">
        <v>203</v>
      </c>
      <c r="HZ1" t="s">
        <v>204</v>
      </c>
      <c r="IA1" t="s">
        <v>205</v>
      </c>
      <c r="IB1" t="s">
        <v>206</v>
      </c>
      <c r="IC1" t="s">
        <v>207</v>
      </c>
      <c r="ID1" t="s">
        <v>208</v>
      </c>
      <c r="IE1" t="s">
        <v>209</v>
      </c>
      <c r="IF1" t="s">
        <v>210</v>
      </c>
      <c r="IG1" s="2" t="s">
        <v>211</v>
      </c>
      <c r="IH1" t="s">
        <v>212</v>
      </c>
      <c r="II1" t="s">
        <v>213</v>
      </c>
      <c r="IJ1" t="s">
        <v>214</v>
      </c>
      <c r="IK1" t="s">
        <v>215</v>
      </c>
      <c r="IL1" t="s">
        <v>216</v>
      </c>
      <c r="IM1" t="s">
        <v>217</v>
      </c>
      <c r="IN1" t="s">
        <v>218</v>
      </c>
      <c r="IO1" t="s">
        <v>219</v>
      </c>
      <c r="IP1" t="s">
        <v>220</v>
      </c>
      <c r="IQ1" t="s">
        <v>221</v>
      </c>
      <c r="IR1" t="s">
        <v>222</v>
      </c>
      <c r="IS1" t="s">
        <v>223</v>
      </c>
      <c r="IT1" t="s">
        <v>224</v>
      </c>
      <c r="IU1" t="s">
        <v>225</v>
      </c>
      <c r="IV1" t="s">
        <v>226</v>
      </c>
    </row>
    <row r="2" spans="1:256" ht="15">
      <c r="A2">
        <v>221100</v>
      </c>
      <c r="B2" t="s">
        <v>266</v>
      </c>
      <c r="C2" t="s">
        <v>267</v>
      </c>
      <c r="D2" s="27">
        <f t="shared" ref="D2:D11" si="0">IG2/100</f>
        <v>0.51719999999999999</v>
      </c>
      <c r="E2" s="27">
        <f t="shared" ref="E2:E11" si="1">((CA2*1000)/FN2)/E$16</f>
        <v>-0.23533064510119292</v>
      </c>
      <c r="F2" s="28">
        <f t="shared" ref="F2:F11" si="2">(EF2/FN2)*1000000</f>
        <v>11.491951082974163</v>
      </c>
      <c r="G2" s="31">
        <f t="shared" ref="G2:G11" si="3">(((DQ2/EF2))/FN2)/E$16</f>
        <v>4.4080361050093846E-4</v>
      </c>
      <c r="H2" s="29">
        <f t="shared" ref="H2:H11" si="4">((DI2+DJ2-DR2-DS2-DT2-DZ2)/FN2)/E$16</f>
        <v>0.56380969159584393</v>
      </c>
      <c r="I2" s="30">
        <f t="shared" ref="I2:I11" si="5">DQ2/(H2*FN2)</f>
        <v>2.8743216333488011</v>
      </c>
      <c r="J2">
        <v>2014</v>
      </c>
      <c r="K2">
        <v>22110000</v>
      </c>
      <c r="L2" t="s">
        <v>268</v>
      </c>
      <c r="M2" t="s">
        <v>269</v>
      </c>
      <c r="N2" t="s">
        <v>227</v>
      </c>
      <c r="O2" t="s">
        <v>228</v>
      </c>
      <c r="P2" t="s">
        <v>229</v>
      </c>
      <c r="Q2">
        <v>155</v>
      </c>
      <c r="R2">
        <v>6</v>
      </c>
      <c r="S2">
        <v>1952368</v>
      </c>
      <c r="T2">
        <v>1060346</v>
      </c>
      <c r="U2">
        <v>2811388</v>
      </c>
      <c r="V2">
        <v>1168159</v>
      </c>
      <c r="W2">
        <v>92</v>
      </c>
      <c r="X2">
        <v>51</v>
      </c>
      <c r="Y2">
        <v>12</v>
      </c>
      <c r="Z2">
        <v>155</v>
      </c>
      <c r="AA2">
        <v>155</v>
      </c>
      <c r="AB2">
        <v>6</v>
      </c>
      <c r="AC2">
        <v>22</v>
      </c>
      <c r="AD2">
        <v>0</v>
      </c>
      <c r="AE2">
        <v>5</v>
      </c>
      <c r="AF2">
        <v>1</v>
      </c>
      <c r="AG2">
        <v>0</v>
      </c>
      <c r="AJ2">
        <v>0</v>
      </c>
      <c r="AK2">
        <v>0</v>
      </c>
      <c r="AL2">
        <v>0</v>
      </c>
      <c r="AM2">
        <v>0</v>
      </c>
      <c r="AN2">
        <v>1890680</v>
      </c>
      <c r="AO2">
        <v>1867380</v>
      </c>
      <c r="AP2">
        <v>627956</v>
      </c>
      <c r="AQ2">
        <v>612570</v>
      </c>
      <c r="AR2">
        <v>672728</v>
      </c>
      <c r="AS2">
        <v>647739</v>
      </c>
      <c r="AT2">
        <v>597695</v>
      </c>
      <c r="AU2">
        <v>575345</v>
      </c>
      <c r="AV2">
        <v>5078.45</v>
      </c>
      <c r="AW2">
        <v>5092.01</v>
      </c>
      <c r="AX2">
        <v>201336.74</v>
      </c>
      <c r="AY2">
        <v>127497.21</v>
      </c>
      <c r="AZ2">
        <v>70401.490000000005</v>
      </c>
      <c r="BA2">
        <v>95193.02</v>
      </c>
      <c r="BB2">
        <v>110229.99</v>
      </c>
      <c r="BC2">
        <v>100353.86</v>
      </c>
      <c r="BD2">
        <v>626752</v>
      </c>
      <c r="BE2">
        <v>600224</v>
      </c>
      <c r="BF2">
        <v>634807</v>
      </c>
      <c r="BG2">
        <v>609482</v>
      </c>
      <c r="BH2">
        <v>63516.83</v>
      </c>
      <c r="BJ2">
        <v>0</v>
      </c>
      <c r="BK2">
        <v>0</v>
      </c>
      <c r="BL2">
        <v>0</v>
      </c>
      <c r="BM2">
        <v>63335.59</v>
      </c>
      <c r="BN2">
        <v>749957</v>
      </c>
      <c r="BO2">
        <v>726536</v>
      </c>
      <c r="BP2">
        <v>592974</v>
      </c>
      <c r="BQ2">
        <v>566674</v>
      </c>
      <c r="BR2">
        <v>4163.72</v>
      </c>
      <c r="BT2">
        <v>1878477</v>
      </c>
      <c r="BU2">
        <v>1852750</v>
      </c>
      <c r="BV2">
        <v>0</v>
      </c>
      <c r="BW2">
        <v>129019.5</v>
      </c>
      <c r="BX2">
        <v>278440.7</v>
      </c>
      <c r="BY2">
        <v>1123184.07</v>
      </c>
      <c r="BZ2">
        <v>48859.64</v>
      </c>
      <c r="CA2">
        <v>-75284.83</v>
      </c>
      <c r="CB2">
        <v>1304996.1599999999</v>
      </c>
      <c r="CC2">
        <v>-155761.22</v>
      </c>
      <c r="CD2">
        <v>336813.19</v>
      </c>
      <c r="CE2">
        <v>0</v>
      </c>
      <c r="CF2">
        <v>-139375.79</v>
      </c>
      <c r="CG2">
        <v>54129.27</v>
      </c>
      <c r="CH2">
        <v>-58212.49</v>
      </c>
      <c r="CI2">
        <v>-116697.29</v>
      </c>
      <c r="CJ2">
        <v>228198</v>
      </c>
      <c r="CK2">
        <v>180776</v>
      </c>
      <c r="CL2">
        <v>54437</v>
      </c>
      <c r="CM2">
        <v>43530</v>
      </c>
      <c r="CN2">
        <v>72116</v>
      </c>
      <c r="CO2">
        <v>59113</v>
      </c>
      <c r="CP2">
        <v>729.24</v>
      </c>
      <c r="CQ2">
        <v>557.05999999999995</v>
      </c>
      <c r="CR2">
        <v>9158.51</v>
      </c>
      <c r="CS2">
        <v>9158.51</v>
      </c>
      <c r="CT2" s="15">
        <f t="shared" ref="CT2:CT11" si="6">CS2/CU2</f>
        <v>0.71480216816973852</v>
      </c>
      <c r="CU2">
        <v>12812.65</v>
      </c>
      <c r="CV2">
        <v>62986</v>
      </c>
      <c r="CW2">
        <v>50174</v>
      </c>
      <c r="CX2">
        <v>56961</v>
      </c>
      <c r="CY2">
        <v>44111</v>
      </c>
      <c r="CZ2">
        <v>0</v>
      </c>
      <c r="DA2">
        <v>0</v>
      </c>
      <c r="DB2">
        <v>0</v>
      </c>
      <c r="DC2">
        <v>0</v>
      </c>
      <c r="DE2">
        <v>228198</v>
      </c>
      <c r="DF2">
        <v>180776</v>
      </c>
      <c r="DG2">
        <v>2639.53</v>
      </c>
      <c r="DH2">
        <v>318966016.99000001</v>
      </c>
      <c r="DI2">
        <v>289708612.08999997</v>
      </c>
      <c r="DJ2">
        <v>29257404.899999999</v>
      </c>
      <c r="DK2">
        <v>17830123.07</v>
      </c>
      <c r="DL2">
        <v>336796140.06</v>
      </c>
      <c r="DM2">
        <v>345919922.97000003</v>
      </c>
      <c r="DN2">
        <v>0</v>
      </c>
      <c r="DO2">
        <v>336448312.94</v>
      </c>
      <c r="DP2">
        <v>309632271.75</v>
      </c>
      <c r="DQ2">
        <v>199399259.53999999</v>
      </c>
      <c r="DR2">
        <v>12515822.59</v>
      </c>
      <c r="DS2">
        <v>39923236.420000002</v>
      </c>
      <c r="DT2">
        <v>86158112.409999996</v>
      </c>
      <c r="DU2">
        <v>364220428.58999997</v>
      </c>
      <c r="DV2">
        <v>271251.65000000002</v>
      </c>
      <c r="DW2">
        <v>472718928.36000001</v>
      </c>
      <c r="DX2">
        <v>1463591.67</v>
      </c>
      <c r="DY2">
        <v>22527679.699999999</v>
      </c>
      <c r="DZ2">
        <v>0</v>
      </c>
      <c r="EA2">
        <v>19668726.48</v>
      </c>
      <c r="EB2">
        <v>85059903.560000002</v>
      </c>
      <c r="EC2">
        <v>0</v>
      </c>
      <c r="ED2">
        <v>0</v>
      </c>
      <c r="EE2">
        <v>0</v>
      </c>
      <c r="EF2">
        <v>1414</v>
      </c>
      <c r="EG2">
        <v>1369</v>
      </c>
      <c r="EH2">
        <v>6555271.1500000004</v>
      </c>
      <c r="EI2">
        <v>639664.86</v>
      </c>
      <c r="EJ2">
        <v>1463591.67</v>
      </c>
      <c r="EK2">
        <v>0</v>
      </c>
      <c r="EL2">
        <v>0</v>
      </c>
      <c r="EM2">
        <v>1463591.67</v>
      </c>
      <c r="EN2">
        <v>4363689.82</v>
      </c>
      <c r="EO2">
        <v>242726.39999999999</v>
      </c>
      <c r="EP2">
        <v>28525.25</v>
      </c>
      <c r="EQ2">
        <v>4634941.47</v>
      </c>
      <c r="ER2">
        <v>0</v>
      </c>
      <c r="ES2">
        <v>0</v>
      </c>
      <c r="ET2">
        <v>0</v>
      </c>
      <c r="EU2">
        <v>2495850.29</v>
      </c>
      <c r="EV2">
        <v>1098143.78</v>
      </c>
      <c r="EW2">
        <v>0</v>
      </c>
      <c r="EX2">
        <v>554476.55000000005</v>
      </c>
      <c r="EY2">
        <v>914453.94</v>
      </c>
      <c r="EZ2">
        <v>2125063.58</v>
      </c>
      <c r="FA2">
        <v>3593994.07</v>
      </c>
      <c r="FB2">
        <v>0</v>
      </c>
      <c r="FC2">
        <v>30678525.370000001</v>
      </c>
      <c r="FD2">
        <v>27786093.969999999</v>
      </c>
      <c r="FE2">
        <v>0</v>
      </c>
      <c r="FF2">
        <v>0</v>
      </c>
      <c r="FG2">
        <v>2741437.77</v>
      </c>
      <c r="FH2">
        <v>55723181.57</v>
      </c>
      <c r="FI2">
        <v>58464619.340000004</v>
      </c>
      <c r="FJ2">
        <v>1.06</v>
      </c>
      <c r="FK2">
        <v>521.63</v>
      </c>
      <c r="FL2">
        <v>3.84</v>
      </c>
      <c r="FM2">
        <v>2.59</v>
      </c>
      <c r="FN2" s="3">
        <f t="shared" ref="FN2:FN11" si="7">(BB2+CU2)*1000</f>
        <v>123042640</v>
      </c>
      <c r="FO2" s="3">
        <f t="shared" ref="FO2:FO11" si="8">BB2*1000</f>
        <v>110229990</v>
      </c>
      <c r="FP2" s="21">
        <f t="shared" ref="FP2:FP11" si="9">$FO$19*FO2/$FR$18</f>
        <v>6191957.7074999996</v>
      </c>
      <c r="FQ2" s="21">
        <f>(DI2+DN2)</f>
        <v>289708612.08999997</v>
      </c>
      <c r="FR2" s="24">
        <f t="shared" ref="FR2:FR11" si="10">FP2/((DI2+DN2)/$E$16)</f>
        <v>5.5569939475940418E-2</v>
      </c>
      <c r="FS2" s="4">
        <f t="shared" ref="FS2:FS11" si="11">CU2*1000</f>
        <v>12812650</v>
      </c>
      <c r="FT2" s="21">
        <f t="shared" ref="FT2:FT11" si="12">$FT$19*FS2/$FR$18</f>
        <v>258716.97115384616</v>
      </c>
      <c r="FU2" s="24">
        <f t="shared" ref="FU2:FU11" si="13">FT2/(DJ2/$E$16)</f>
        <v>2.2991243662899168E-2</v>
      </c>
      <c r="FV2" s="27">
        <f t="shared" ref="FV2:FV11" si="14">(FO2/AN2)/365*1000</f>
        <v>159.73087598257754</v>
      </c>
      <c r="FW2" s="2">
        <f t="shared" ref="FW2:FW11" si="15">DR2/(BB2+CU2)*1000</f>
        <v>101719.39248052544</v>
      </c>
      <c r="FX2" s="3">
        <f>BW2*1000</f>
        <v>129019500</v>
      </c>
      <c r="FY2" s="24">
        <f t="shared" ref="FY2:FY11" si="16">FX2*$FY$17/FO2</f>
        <v>0.15859696848380372</v>
      </c>
      <c r="FZ2" s="3">
        <f>DG2*1000</f>
        <v>2639530</v>
      </c>
      <c r="GA2" s="32">
        <f t="shared" ref="GA2:GA11" si="17">FZ2*$FY$17/FS2</f>
        <v>2.7914312417805842E-2</v>
      </c>
      <c r="GB2" s="34">
        <f>0.05*365*CJ2</f>
        <v>4164613.5</v>
      </c>
      <c r="GC2" s="3">
        <f t="shared" ref="GC2:GC11" si="18">0.05*365*CJ2</f>
        <v>4164613.5</v>
      </c>
      <c r="GD2" s="35">
        <f>CS2/CR2*GB2*0.95*0.6*1</f>
        <v>2373829.6949999998</v>
      </c>
      <c r="GE2" s="35">
        <f>(1-CS2/CR2)*GB2*(1-0.95)*0.6*1</f>
        <v>0</v>
      </c>
      <c r="GF2" s="3">
        <f t="shared" ref="GF2:GF11" si="19">0.06*CS2*1000</f>
        <v>549510.6</v>
      </c>
      <c r="GG2" s="3">
        <f t="shared" ref="GG2:GG11" si="20">GC2-GF2</f>
        <v>3615102.9</v>
      </c>
      <c r="GH2" s="18">
        <f>0.6*GG2*0.3*1</f>
        <v>650718.52199999988</v>
      </c>
      <c r="GI2" s="18">
        <f>0.6*GF2*0.3*25</f>
        <v>2472797.6999999997</v>
      </c>
      <c r="GJ2" s="33">
        <f t="shared" ref="GJ2:GJ11" si="21">(GH2+GI2)/FS2</f>
        <v>0.24378377790699032</v>
      </c>
      <c r="GK2" s="3">
        <f t="shared" ref="GK2:GK11" si="22">GC2*(CR2-CS2)*1000</f>
        <v>0</v>
      </c>
      <c r="GL2" s="18">
        <f>0.6*GK2*0.3*25</f>
        <v>0</v>
      </c>
      <c r="GM2" s="33">
        <f t="shared" ref="GM2:GM11" si="23">(GL2/FS2)</f>
        <v>0</v>
      </c>
      <c r="GN2" s="24">
        <f t="shared" ref="GN2:GN11" si="24">GA2+GJ2+GM2</f>
        <v>0.27169809032479619</v>
      </c>
      <c r="GO2">
        <v>2.63</v>
      </c>
      <c r="GP2">
        <v>2.2799999999999998</v>
      </c>
      <c r="GQ2">
        <v>60.41</v>
      </c>
      <c r="GR2">
        <v>143298.07</v>
      </c>
      <c r="GS2">
        <v>94.56</v>
      </c>
      <c r="GT2">
        <v>35.71</v>
      </c>
      <c r="GU2">
        <v>49.84</v>
      </c>
      <c r="GV2">
        <v>67.47</v>
      </c>
      <c r="GW2">
        <v>44.09</v>
      </c>
      <c r="GX2">
        <v>9.43</v>
      </c>
      <c r="GY2">
        <v>9.6199999999999992</v>
      </c>
      <c r="GZ2">
        <v>100</v>
      </c>
      <c r="HA2">
        <v>13.91</v>
      </c>
      <c r="HB2">
        <v>1992.75</v>
      </c>
      <c r="HC2">
        <v>364.24</v>
      </c>
      <c r="HD2">
        <v>6.89</v>
      </c>
      <c r="HE2">
        <v>12.73</v>
      </c>
      <c r="HF2">
        <v>138.80000000000001</v>
      </c>
      <c r="HG2">
        <v>96.22</v>
      </c>
      <c r="HH2">
        <v>11.69</v>
      </c>
      <c r="HI2">
        <v>25.41</v>
      </c>
      <c r="HJ2">
        <v>2.96</v>
      </c>
      <c r="HK2">
        <v>501.79</v>
      </c>
      <c r="HL2">
        <v>55.91</v>
      </c>
      <c r="HM2">
        <v>-2.71</v>
      </c>
      <c r="HN2">
        <v>114.19</v>
      </c>
      <c r="HO2">
        <v>62.51</v>
      </c>
      <c r="HP2">
        <v>89.53</v>
      </c>
      <c r="HQ2">
        <v>1.45</v>
      </c>
      <c r="HR2">
        <v>2.06</v>
      </c>
      <c r="HS2">
        <v>54.75</v>
      </c>
      <c r="HT2">
        <v>78.400000000000006</v>
      </c>
      <c r="HU2">
        <v>10.96</v>
      </c>
      <c r="HV2">
        <v>3.44</v>
      </c>
      <c r="HW2">
        <v>1.8</v>
      </c>
      <c r="HX2">
        <v>86.02</v>
      </c>
      <c r="HY2">
        <v>8.69</v>
      </c>
      <c r="HZ2">
        <v>5.29</v>
      </c>
      <c r="IA2">
        <v>92.92</v>
      </c>
      <c r="IB2">
        <v>73.959999999999994</v>
      </c>
      <c r="IC2">
        <v>2.2400000000000002</v>
      </c>
      <c r="ID2">
        <v>9.6199999999999992</v>
      </c>
      <c r="IE2">
        <v>21.52</v>
      </c>
      <c r="IF2">
        <v>2.08</v>
      </c>
      <c r="IG2" s="2">
        <v>51.72</v>
      </c>
      <c r="IH2">
        <v>54.94</v>
      </c>
      <c r="II2">
        <v>450.45</v>
      </c>
      <c r="IJ2">
        <v>48.28</v>
      </c>
      <c r="IK2">
        <v>12.02</v>
      </c>
      <c r="IL2">
        <v>359.63</v>
      </c>
      <c r="IM2">
        <v>67.25</v>
      </c>
      <c r="IN2">
        <v>8.1199999999999992</v>
      </c>
      <c r="IO2">
        <v>0</v>
      </c>
      <c r="IP2">
        <v>0.64</v>
      </c>
      <c r="IQ2">
        <v>0.28999999999999998</v>
      </c>
      <c r="IR2">
        <v>0.3</v>
      </c>
      <c r="IS2">
        <v>0.21</v>
      </c>
      <c r="IT2">
        <v>0.25</v>
      </c>
      <c r="IU2">
        <v>1.21</v>
      </c>
      <c r="IV2">
        <v>-41.38</v>
      </c>
    </row>
    <row r="3" spans="1:256" ht="15">
      <c r="A3">
        <v>211130</v>
      </c>
      <c r="B3" t="s">
        <v>238</v>
      </c>
      <c r="C3" t="s">
        <v>239</v>
      </c>
      <c r="D3" s="27">
        <f t="shared" si="0"/>
        <v>0.622</v>
      </c>
      <c r="E3" s="27">
        <f t="shared" si="1"/>
        <v>-6.1322197296501367E-2</v>
      </c>
      <c r="F3" s="28">
        <f t="shared" si="2"/>
        <v>15.425684590566817</v>
      </c>
      <c r="G3" s="31">
        <f t="shared" si="3"/>
        <v>2.808905017643633E-4</v>
      </c>
      <c r="H3" s="29">
        <f t="shared" si="4"/>
        <v>0.60863384279069499</v>
      </c>
      <c r="I3" s="30">
        <f t="shared" si="5"/>
        <v>2.5330428569580263</v>
      </c>
      <c r="J3">
        <v>2014</v>
      </c>
      <c r="K3">
        <v>21113000</v>
      </c>
      <c r="L3" t="s">
        <v>240</v>
      </c>
      <c r="M3" t="s">
        <v>241</v>
      </c>
      <c r="N3" t="s">
        <v>227</v>
      </c>
      <c r="O3" t="s">
        <v>228</v>
      </c>
      <c r="P3" t="s">
        <v>229</v>
      </c>
      <c r="Q3">
        <v>141</v>
      </c>
      <c r="R3">
        <v>3</v>
      </c>
      <c r="S3">
        <v>3128332</v>
      </c>
      <c r="T3">
        <v>1268190</v>
      </c>
      <c r="U3">
        <v>4768125</v>
      </c>
      <c r="V3">
        <v>1376140</v>
      </c>
      <c r="W3">
        <v>91</v>
      </c>
      <c r="X3">
        <v>35</v>
      </c>
      <c r="Y3">
        <v>15</v>
      </c>
      <c r="Z3">
        <v>141</v>
      </c>
      <c r="AA3">
        <v>139</v>
      </c>
      <c r="AB3">
        <v>3</v>
      </c>
      <c r="AC3">
        <v>32</v>
      </c>
      <c r="AD3">
        <v>0</v>
      </c>
      <c r="AE3">
        <v>1</v>
      </c>
      <c r="AF3">
        <v>1</v>
      </c>
      <c r="AG3">
        <v>1</v>
      </c>
      <c r="AJ3">
        <v>13</v>
      </c>
      <c r="AK3">
        <v>0</v>
      </c>
      <c r="AL3">
        <v>86</v>
      </c>
      <c r="AM3">
        <v>0</v>
      </c>
      <c r="AN3">
        <v>2238446</v>
      </c>
      <c r="AO3">
        <v>2310290</v>
      </c>
      <c r="AP3">
        <v>546493</v>
      </c>
      <c r="AQ3">
        <v>568479</v>
      </c>
      <c r="AR3">
        <v>625293</v>
      </c>
      <c r="AS3">
        <v>646920</v>
      </c>
      <c r="AT3">
        <v>124127</v>
      </c>
      <c r="AU3">
        <v>129504</v>
      </c>
      <c r="AV3">
        <v>5918.01</v>
      </c>
      <c r="AW3">
        <v>10360.85</v>
      </c>
      <c r="AX3">
        <v>295183.5</v>
      </c>
      <c r="AY3">
        <v>119123.34</v>
      </c>
      <c r="AZ3">
        <v>28485.26</v>
      </c>
      <c r="BA3">
        <v>111575.26</v>
      </c>
      <c r="BB3">
        <v>102409.47</v>
      </c>
      <c r="BC3">
        <v>0</v>
      </c>
      <c r="BD3">
        <v>588799</v>
      </c>
      <c r="BE3">
        <v>606298</v>
      </c>
      <c r="BF3">
        <v>167665</v>
      </c>
      <c r="BG3">
        <v>174081</v>
      </c>
      <c r="BH3">
        <v>31415.56</v>
      </c>
      <c r="BJ3">
        <v>0</v>
      </c>
      <c r="BK3">
        <v>0</v>
      </c>
      <c r="BL3">
        <v>0</v>
      </c>
      <c r="BM3">
        <v>24884.94</v>
      </c>
      <c r="BN3">
        <v>741388</v>
      </c>
      <c r="BO3">
        <v>776461</v>
      </c>
      <c r="BP3">
        <v>154845</v>
      </c>
      <c r="BQ3">
        <v>161801</v>
      </c>
      <c r="BR3">
        <v>27.36</v>
      </c>
      <c r="BT3">
        <v>2202961</v>
      </c>
      <c r="BU3">
        <v>2297159</v>
      </c>
      <c r="BV3">
        <v>0</v>
      </c>
      <c r="BW3">
        <v>172087.86</v>
      </c>
      <c r="BX3">
        <v>471255</v>
      </c>
      <c r="BY3">
        <v>1607699</v>
      </c>
      <c r="BZ3">
        <v>154511</v>
      </c>
      <c r="CA3">
        <v>-21819</v>
      </c>
      <c r="CB3">
        <v>794136</v>
      </c>
      <c r="CC3">
        <v>659052</v>
      </c>
      <c r="CD3">
        <v>424490</v>
      </c>
      <c r="CE3">
        <v>0</v>
      </c>
      <c r="CF3">
        <v>13735</v>
      </c>
      <c r="CG3">
        <v>1136444</v>
      </c>
      <c r="CH3">
        <v>3302</v>
      </c>
      <c r="CI3">
        <v>38856</v>
      </c>
      <c r="CJ3">
        <v>549588</v>
      </c>
      <c r="CK3">
        <v>585480</v>
      </c>
      <c r="CL3">
        <v>99802</v>
      </c>
      <c r="CM3">
        <v>135804</v>
      </c>
      <c r="CN3">
        <v>162825</v>
      </c>
      <c r="CO3">
        <v>184663</v>
      </c>
      <c r="CP3">
        <v>999.72</v>
      </c>
      <c r="CQ3">
        <v>1107.73</v>
      </c>
      <c r="CR3">
        <v>40349.51</v>
      </c>
      <c r="CS3">
        <v>13151.07</v>
      </c>
      <c r="CT3" s="15">
        <f t="shared" si="6"/>
        <v>0.38185220124964397</v>
      </c>
      <c r="CU3">
        <v>34440.21</v>
      </c>
      <c r="CV3">
        <v>144238</v>
      </c>
      <c r="CW3">
        <v>171281</v>
      </c>
      <c r="CX3">
        <v>107501</v>
      </c>
      <c r="CY3">
        <v>138709</v>
      </c>
      <c r="CZ3">
        <v>0</v>
      </c>
      <c r="DA3">
        <v>0</v>
      </c>
      <c r="DB3">
        <v>0</v>
      </c>
      <c r="DC3">
        <v>0</v>
      </c>
      <c r="DE3">
        <v>549588</v>
      </c>
      <c r="DF3">
        <v>585480</v>
      </c>
      <c r="DG3">
        <v>1715.04</v>
      </c>
      <c r="DH3">
        <v>358727967.08999997</v>
      </c>
      <c r="DI3">
        <v>254092104.71000001</v>
      </c>
      <c r="DJ3">
        <v>104635862.38</v>
      </c>
      <c r="DK3">
        <v>18604387.649999999</v>
      </c>
      <c r="DL3">
        <v>377332354.74000001</v>
      </c>
      <c r="DM3">
        <v>272824249.22000003</v>
      </c>
      <c r="DN3">
        <v>0</v>
      </c>
      <c r="DO3">
        <v>533974841.93000001</v>
      </c>
      <c r="DP3">
        <v>533037426.14999998</v>
      </c>
      <c r="DQ3">
        <v>210980550.61000001</v>
      </c>
      <c r="DR3">
        <v>13197629.050000001</v>
      </c>
      <c r="DS3">
        <v>58818307.909999996</v>
      </c>
      <c r="DT3">
        <v>70154528.909999996</v>
      </c>
      <c r="DU3">
        <v>375969828.95999998</v>
      </c>
      <c r="DV3">
        <v>0</v>
      </c>
      <c r="DW3">
        <v>443185796.18000001</v>
      </c>
      <c r="DX3">
        <v>0</v>
      </c>
      <c r="DY3">
        <v>67215771.930000007</v>
      </c>
      <c r="DZ3">
        <v>0</v>
      </c>
      <c r="EA3">
        <v>22664099.170000002</v>
      </c>
      <c r="EB3">
        <v>0</v>
      </c>
      <c r="EC3">
        <v>19675256.859999999</v>
      </c>
      <c r="ED3">
        <v>31172774.73</v>
      </c>
      <c r="EE3">
        <v>47381766.25</v>
      </c>
      <c r="EF3">
        <v>2111</v>
      </c>
      <c r="EG3">
        <v>2152</v>
      </c>
      <c r="EH3">
        <v>154713.31</v>
      </c>
      <c r="EI3">
        <v>195.29</v>
      </c>
      <c r="EJ3">
        <v>98229797.840000004</v>
      </c>
      <c r="EK3">
        <v>0</v>
      </c>
      <c r="EL3">
        <v>0</v>
      </c>
      <c r="EM3">
        <v>98229797.840000004</v>
      </c>
      <c r="EN3">
        <v>0</v>
      </c>
      <c r="EO3">
        <v>0</v>
      </c>
      <c r="EP3">
        <v>0</v>
      </c>
      <c r="EQ3">
        <v>0</v>
      </c>
      <c r="ER3">
        <v>0</v>
      </c>
      <c r="ES3">
        <v>0</v>
      </c>
      <c r="ET3">
        <v>0</v>
      </c>
      <c r="EU3">
        <v>0</v>
      </c>
      <c r="EV3">
        <v>0</v>
      </c>
      <c r="EW3">
        <v>0</v>
      </c>
      <c r="EX3">
        <v>0</v>
      </c>
      <c r="EY3">
        <v>0</v>
      </c>
      <c r="EZ3">
        <v>0</v>
      </c>
      <c r="FA3">
        <v>0</v>
      </c>
      <c r="FB3">
        <v>0</v>
      </c>
      <c r="FC3">
        <v>0</v>
      </c>
      <c r="FD3">
        <v>0</v>
      </c>
      <c r="FE3">
        <v>0</v>
      </c>
      <c r="FF3">
        <v>0</v>
      </c>
      <c r="FG3">
        <v>0</v>
      </c>
      <c r="FH3">
        <v>0</v>
      </c>
      <c r="FI3">
        <v>0</v>
      </c>
      <c r="FJ3">
        <v>1.1399999999999999</v>
      </c>
      <c r="FK3">
        <v>379.94</v>
      </c>
      <c r="FL3">
        <v>3.24</v>
      </c>
      <c r="FM3">
        <v>2.62</v>
      </c>
      <c r="FN3" s="3">
        <f t="shared" si="7"/>
        <v>136849680</v>
      </c>
      <c r="FO3" s="3">
        <f t="shared" si="8"/>
        <v>102409470</v>
      </c>
      <c r="FP3" s="21">
        <f t="shared" si="9"/>
        <v>5752655.0359615386</v>
      </c>
      <c r="FQ3" s="21">
        <f t="shared" ref="FQ3:FQ11" si="25">(DI3+DN3)</f>
        <v>254092104.71000001</v>
      </c>
      <c r="FR3" s="24">
        <f t="shared" si="10"/>
        <v>5.8864100128457712E-2</v>
      </c>
      <c r="FS3" s="4">
        <f t="shared" si="11"/>
        <v>34440210</v>
      </c>
      <c r="FT3" s="21">
        <f t="shared" si="12"/>
        <v>695427.31730769225</v>
      </c>
      <c r="FU3" s="24">
        <f t="shared" si="13"/>
        <v>1.728003175845761E-2</v>
      </c>
      <c r="FV3" s="27">
        <f t="shared" si="14"/>
        <v>125.34315789210859</v>
      </c>
      <c r="FW3" s="2">
        <f t="shared" si="15"/>
        <v>96438.874025865473</v>
      </c>
      <c r="FX3" s="3">
        <f t="shared" ref="FX3:FX11" si="26">BW3*1000</f>
        <v>172087860</v>
      </c>
      <c r="FY3" s="24">
        <f t="shared" si="16"/>
        <v>0.22769285916624704</v>
      </c>
      <c r="FZ3" s="3">
        <f t="shared" ref="FZ3:FZ11" si="27">DG3*1000</f>
        <v>1715040</v>
      </c>
      <c r="GA3" s="32">
        <f t="shared" si="17"/>
        <v>6.7475755809851337E-3</v>
      </c>
      <c r="GB3" s="34">
        <f t="shared" ref="GB3:GB11" si="28">0.05*365*CJ3</f>
        <v>10029981</v>
      </c>
      <c r="GC3" s="3">
        <f t="shared" si="18"/>
        <v>10029981</v>
      </c>
      <c r="GD3" s="35">
        <f t="shared" ref="GD3:GD11" si="29">CS3/CR3*GB3*0.95*0.6*1</f>
        <v>1863364.3846210744</v>
      </c>
      <c r="GE3" s="35">
        <f t="shared" ref="GE3:GE11" si="30">(1-CS3/CR3)*GB3*(1-0.95)*0.6*1</f>
        <v>202827.62028310148</v>
      </c>
      <c r="GF3" s="3">
        <f t="shared" si="19"/>
        <v>789064.2</v>
      </c>
      <c r="GG3" s="3">
        <f t="shared" si="20"/>
        <v>9240916.8000000007</v>
      </c>
      <c r="GH3" s="18">
        <f t="shared" ref="GH3:GH11" si="31">0.6*GG3*0.3*1</f>
        <v>1663365.024</v>
      </c>
      <c r="GI3" s="18">
        <f t="shared" ref="GI3:GI11" si="32">0.6*GF3*0.3*25</f>
        <v>3550788.8999999994</v>
      </c>
      <c r="GJ3" s="33">
        <f t="shared" si="21"/>
        <v>0.15139727440686337</v>
      </c>
      <c r="GK3" s="3">
        <f t="shared" si="22"/>
        <v>272799836429640</v>
      </c>
      <c r="GL3" s="18">
        <f t="shared" ref="GL3:GL11" si="33">0.6*GK3*0.3*25</f>
        <v>1227599263933380</v>
      </c>
      <c r="GM3" s="33">
        <f t="shared" si="23"/>
        <v>35644360.587039977</v>
      </c>
      <c r="GN3" s="24">
        <f t="shared" si="24"/>
        <v>35644360.745184824</v>
      </c>
      <c r="GO3">
        <v>2.48</v>
      </c>
      <c r="GP3">
        <v>3.04</v>
      </c>
      <c r="GQ3">
        <v>63.44</v>
      </c>
      <c r="GR3">
        <v>98982.2</v>
      </c>
      <c r="GS3">
        <v>22.75</v>
      </c>
      <c r="GT3">
        <v>9.65</v>
      </c>
      <c r="GU3">
        <v>0</v>
      </c>
      <c r="GV3">
        <v>80.94</v>
      </c>
      <c r="GW3">
        <v>65.3</v>
      </c>
      <c r="GX3">
        <v>13.89</v>
      </c>
      <c r="GY3">
        <v>36.159999999999997</v>
      </c>
      <c r="GZ3">
        <v>32.590000000000003</v>
      </c>
      <c r="HA3">
        <v>13.42</v>
      </c>
      <c r="HB3">
        <v>2840.26</v>
      </c>
      <c r="HC3">
        <v>285.13</v>
      </c>
      <c r="HD3">
        <v>10.72</v>
      </c>
      <c r="HE3">
        <v>8.56</v>
      </c>
      <c r="HF3">
        <v>134.4</v>
      </c>
      <c r="HG3">
        <v>70.42</v>
      </c>
      <c r="HH3">
        <v>17.57</v>
      </c>
      <c r="HI3">
        <v>38.67</v>
      </c>
      <c r="HJ3">
        <v>2.75</v>
      </c>
      <c r="HK3">
        <v>464.25</v>
      </c>
      <c r="HL3">
        <v>34.700000000000003</v>
      </c>
      <c r="HM3">
        <v>27.7</v>
      </c>
      <c r="HN3">
        <v>104.81</v>
      </c>
      <c r="HO3">
        <v>58.81</v>
      </c>
      <c r="HP3">
        <v>78.37</v>
      </c>
      <c r="HQ3">
        <v>0</v>
      </c>
      <c r="HR3">
        <v>0.04</v>
      </c>
      <c r="HS3">
        <v>56.12</v>
      </c>
      <c r="HT3">
        <v>74.78</v>
      </c>
      <c r="HU3">
        <v>15.64</v>
      </c>
      <c r="HV3">
        <v>3.51</v>
      </c>
      <c r="HW3">
        <v>0.04</v>
      </c>
      <c r="HX3">
        <v>67.34</v>
      </c>
      <c r="HY3">
        <v>27.73</v>
      </c>
      <c r="HZ3">
        <v>4.93</v>
      </c>
      <c r="IA3">
        <v>93.94</v>
      </c>
      <c r="IB3">
        <v>25.53</v>
      </c>
      <c r="IC3">
        <v>3.82</v>
      </c>
      <c r="ID3">
        <v>11.79</v>
      </c>
      <c r="IE3">
        <v>43.34</v>
      </c>
      <c r="IF3">
        <v>3.16</v>
      </c>
      <c r="IG3" s="2">
        <v>62.2</v>
      </c>
      <c r="IH3">
        <v>61.79</v>
      </c>
      <c r="II3">
        <v>902.2</v>
      </c>
      <c r="IJ3">
        <v>37.799999999999997</v>
      </c>
      <c r="IK3">
        <v>14.62</v>
      </c>
      <c r="IL3">
        <v>509.45</v>
      </c>
      <c r="IM3">
        <v>46.95</v>
      </c>
      <c r="IN3">
        <v>11.53</v>
      </c>
      <c r="IO3">
        <v>0</v>
      </c>
      <c r="IP3">
        <v>0.57999999999999996</v>
      </c>
      <c r="IQ3">
        <v>0.04</v>
      </c>
      <c r="IR3">
        <v>0.34</v>
      </c>
      <c r="IS3">
        <v>0.59</v>
      </c>
      <c r="IT3">
        <v>1.69</v>
      </c>
      <c r="IU3">
        <v>0.59</v>
      </c>
      <c r="IV3">
        <v>3.24</v>
      </c>
    </row>
    <row r="4" spans="1:256" ht="15">
      <c r="A4">
        <v>240810</v>
      </c>
      <c r="B4" t="s">
        <v>254</v>
      </c>
      <c r="C4" t="s">
        <v>255</v>
      </c>
      <c r="D4" s="27">
        <f t="shared" si="0"/>
        <v>0.55820000000000003</v>
      </c>
      <c r="E4" s="27">
        <f t="shared" si="1"/>
        <v>1.1888253636769782E-2</v>
      </c>
      <c r="F4" s="28">
        <f t="shared" si="2"/>
        <v>13.83693166516148</v>
      </c>
      <c r="G4" s="31">
        <f t="shared" si="3"/>
        <v>1.7283116373485952E-4</v>
      </c>
      <c r="H4" s="29">
        <f t="shared" si="4"/>
        <v>0.79931361278976976</v>
      </c>
      <c r="I4" s="30">
        <f t="shared" si="5"/>
        <v>1.226122489837618</v>
      </c>
      <c r="J4">
        <v>2014</v>
      </c>
      <c r="K4">
        <v>24081000</v>
      </c>
      <c r="L4" t="s">
        <v>256</v>
      </c>
      <c r="M4" t="s">
        <v>257</v>
      </c>
      <c r="N4" t="s">
        <v>227</v>
      </c>
      <c r="O4" t="s">
        <v>228</v>
      </c>
      <c r="P4" t="s">
        <v>229</v>
      </c>
      <c r="Q4">
        <v>154</v>
      </c>
      <c r="R4">
        <v>42</v>
      </c>
      <c r="S4">
        <v>2429972</v>
      </c>
      <c r="T4">
        <v>1842145</v>
      </c>
      <c r="U4">
        <v>3072648</v>
      </c>
      <c r="V4">
        <v>2090819</v>
      </c>
      <c r="W4">
        <v>103</v>
      </c>
      <c r="X4">
        <v>37</v>
      </c>
      <c r="Y4">
        <v>11</v>
      </c>
      <c r="Z4">
        <v>154</v>
      </c>
      <c r="AA4">
        <v>152</v>
      </c>
      <c r="AB4">
        <v>41</v>
      </c>
      <c r="AC4">
        <v>12</v>
      </c>
      <c r="AD4">
        <v>1</v>
      </c>
      <c r="AE4">
        <v>33</v>
      </c>
      <c r="AF4">
        <v>6</v>
      </c>
      <c r="AG4">
        <v>2</v>
      </c>
      <c r="AJ4">
        <v>2</v>
      </c>
      <c r="AK4">
        <v>1</v>
      </c>
      <c r="AL4">
        <v>72</v>
      </c>
      <c r="AM4">
        <v>32</v>
      </c>
      <c r="AN4">
        <v>2523284</v>
      </c>
      <c r="AO4">
        <v>2474862</v>
      </c>
      <c r="AP4">
        <v>682970</v>
      </c>
      <c r="AQ4">
        <v>657333</v>
      </c>
      <c r="AR4">
        <v>793492</v>
      </c>
      <c r="AS4">
        <v>772161</v>
      </c>
      <c r="AT4">
        <v>558824</v>
      </c>
      <c r="AU4">
        <v>501890</v>
      </c>
      <c r="AV4">
        <v>6003.05</v>
      </c>
      <c r="AW4">
        <v>5930.81</v>
      </c>
      <c r="AX4">
        <v>234015.43</v>
      </c>
      <c r="AY4">
        <v>90424.24</v>
      </c>
      <c r="AZ4">
        <v>82055.5</v>
      </c>
      <c r="BA4">
        <v>101401.75</v>
      </c>
      <c r="BB4">
        <v>126163.93</v>
      </c>
      <c r="BC4">
        <v>153141.70000000001</v>
      </c>
      <c r="BD4">
        <v>735406</v>
      </c>
      <c r="BE4">
        <v>725187</v>
      </c>
      <c r="BF4">
        <v>662699</v>
      </c>
      <c r="BG4">
        <v>608860</v>
      </c>
      <c r="BH4">
        <v>143591.18</v>
      </c>
      <c r="BJ4">
        <v>0</v>
      </c>
      <c r="BK4">
        <v>0</v>
      </c>
      <c r="BL4">
        <v>1925.94</v>
      </c>
      <c r="BM4">
        <v>72299.89</v>
      </c>
      <c r="BN4">
        <v>827569</v>
      </c>
      <c r="BO4">
        <v>803976</v>
      </c>
      <c r="BP4">
        <v>611161</v>
      </c>
      <c r="BQ4">
        <v>567030</v>
      </c>
      <c r="BR4">
        <v>4492.75</v>
      </c>
      <c r="BT4">
        <v>2322905</v>
      </c>
      <c r="BU4">
        <v>2290397</v>
      </c>
      <c r="BV4">
        <v>0</v>
      </c>
      <c r="BW4">
        <v>221833.47</v>
      </c>
      <c r="BX4">
        <v>182011</v>
      </c>
      <c r="BY4">
        <v>1004309</v>
      </c>
      <c r="BZ4">
        <v>226376</v>
      </c>
      <c r="CA4">
        <v>4872</v>
      </c>
      <c r="CB4">
        <v>80794</v>
      </c>
      <c r="CC4">
        <v>697139</v>
      </c>
      <c r="CD4">
        <v>439720</v>
      </c>
      <c r="CE4">
        <v>0</v>
      </c>
      <c r="CF4">
        <v>29504</v>
      </c>
      <c r="CG4">
        <v>822298</v>
      </c>
      <c r="CH4">
        <v>36959</v>
      </c>
      <c r="CI4">
        <v>61591</v>
      </c>
      <c r="CJ4">
        <v>614223</v>
      </c>
      <c r="CK4">
        <v>592827</v>
      </c>
      <c r="CL4">
        <v>155150</v>
      </c>
      <c r="CM4">
        <v>146860</v>
      </c>
      <c r="CN4">
        <v>208859</v>
      </c>
      <c r="CO4">
        <v>199196</v>
      </c>
      <c r="CP4">
        <v>1343.35</v>
      </c>
      <c r="CQ4">
        <v>1326.32</v>
      </c>
      <c r="CR4">
        <v>23249.17</v>
      </c>
      <c r="CS4">
        <v>19553.79</v>
      </c>
      <c r="CT4" s="15">
        <f t="shared" si="6"/>
        <v>0.62158954940154598</v>
      </c>
      <c r="CU4">
        <v>31457.72</v>
      </c>
      <c r="CV4">
        <v>178976</v>
      </c>
      <c r="CW4">
        <v>172929</v>
      </c>
      <c r="CX4">
        <v>162038</v>
      </c>
      <c r="CY4">
        <v>154248</v>
      </c>
      <c r="CZ4">
        <v>0</v>
      </c>
      <c r="DA4">
        <v>0</v>
      </c>
      <c r="DB4">
        <v>0</v>
      </c>
      <c r="DC4">
        <v>0</v>
      </c>
      <c r="DE4">
        <v>613753</v>
      </c>
      <c r="DF4">
        <v>592030</v>
      </c>
      <c r="DG4">
        <v>12792.68</v>
      </c>
      <c r="DH4">
        <v>463244559.24000001</v>
      </c>
      <c r="DI4">
        <v>385190639.07999998</v>
      </c>
      <c r="DJ4">
        <v>77160265.530000001</v>
      </c>
      <c r="DK4">
        <v>20411156.84</v>
      </c>
      <c r="DL4">
        <v>483655716.07999998</v>
      </c>
      <c r="DM4">
        <v>441773909.56999999</v>
      </c>
      <c r="DN4">
        <v>893654.63</v>
      </c>
      <c r="DO4">
        <v>262442084</v>
      </c>
      <c r="DP4">
        <v>223670120.88999999</v>
      </c>
      <c r="DQ4">
        <v>154478106.40000001</v>
      </c>
      <c r="DR4">
        <v>7320759.2300000004</v>
      </c>
      <c r="DS4">
        <v>62046094.280000001</v>
      </c>
      <c r="DT4">
        <v>63449865.770000003</v>
      </c>
      <c r="DU4">
        <v>378458201.18000001</v>
      </c>
      <c r="DV4">
        <v>132103.67000000001</v>
      </c>
      <c r="DW4">
        <v>436517400.63</v>
      </c>
      <c r="DX4">
        <v>19750054.649999999</v>
      </c>
      <c r="DY4">
        <v>32086697.82</v>
      </c>
      <c r="DZ4">
        <v>1962445.99</v>
      </c>
      <c r="EA4">
        <v>46551343.810000002</v>
      </c>
      <c r="EB4">
        <v>4544669.2699999996</v>
      </c>
      <c r="EC4">
        <v>52653694.380000003</v>
      </c>
      <c r="ED4">
        <v>57401689.640000001</v>
      </c>
      <c r="EE4">
        <v>4122822.12</v>
      </c>
      <c r="EF4">
        <v>2181</v>
      </c>
      <c r="EG4">
        <v>1939</v>
      </c>
      <c r="EH4">
        <v>42649585.700000003</v>
      </c>
      <c r="EI4">
        <v>21295728.690000001</v>
      </c>
      <c r="EJ4">
        <v>71072537.260000005</v>
      </c>
      <c r="EK4">
        <v>0</v>
      </c>
      <c r="EL4">
        <v>62855723.530000001</v>
      </c>
      <c r="EM4">
        <v>133928260.79000001</v>
      </c>
      <c r="EN4">
        <v>873149.67</v>
      </c>
      <c r="EO4">
        <v>132103.67000000001</v>
      </c>
      <c r="EP4">
        <v>0</v>
      </c>
      <c r="EQ4">
        <v>1005253.34</v>
      </c>
      <c r="ER4">
        <v>0</v>
      </c>
      <c r="ES4">
        <v>0</v>
      </c>
      <c r="FB4">
        <v>0</v>
      </c>
      <c r="FC4">
        <v>0</v>
      </c>
      <c r="FD4">
        <v>0</v>
      </c>
      <c r="FE4">
        <v>0</v>
      </c>
      <c r="FF4">
        <v>0</v>
      </c>
      <c r="FG4">
        <v>0</v>
      </c>
      <c r="FH4">
        <v>0</v>
      </c>
      <c r="FI4">
        <v>0</v>
      </c>
      <c r="FJ4">
        <v>1.17</v>
      </c>
      <c r="FK4">
        <v>479.06</v>
      </c>
      <c r="FL4">
        <v>2.77</v>
      </c>
      <c r="FM4">
        <v>2.94</v>
      </c>
      <c r="FN4" s="3">
        <f t="shared" si="7"/>
        <v>157621650</v>
      </c>
      <c r="FO4" s="3">
        <f t="shared" si="8"/>
        <v>126163930</v>
      </c>
      <c r="FP4" s="21">
        <f t="shared" si="9"/>
        <v>7087016.1448076926</v>
      </c>
      <c r="FQ4" s="21">
        <f t="shared" si="25"/>
        <v>386084293.70999998</v>
      </c>
      <c r="FR4" s="24">
        <f t="shared" si="10"/>
        <v>4.7725955903144122E-2</v>
      </c>
      <c r="FS4" s="4">
        <f t="shared" si="11"/>
        <v>31457720</v>
      </c>
      <c r="FT4" s="21">
        <f t="shared" si="12"/>
        <v>635203.9615384615</v>
      </c>
      <c r="FU4" s="24">
        <f t="shared" si="13"/>
        <v>2.1403896016374945E-2</v>
      </c>
      <c r="FV4" s="27">
        <f t="shared" si="14"/>
        <v>136.98600820982736</v>
      </c>
      <c r="FW4" s="2">
        <f t="shared" si="15"/>
        <v>46445.137644479677</v>
      </c>
      <c r="FX4" s="3">
        <f t="shared" si="26"/>
        <v>221833470</v>
      </c>
      <c r="FY4" s="24">
        <f t="shared" si="16"/>
        <v>0.23824903984046789</v>
      </c>
      <c r="FZ4" s="3">
        <f t="shared" si="27"/>
        <v>12792680</v>
      </c>
      <c r="GA4" s="32">
        <f t="shared" si="17"/>
        <v>5.51027900305553E-2</v>
      </c>
      <c r="GB4" s="34">
        <f t="shared" si="28"/>
        <v>11209569.75</v>
      </c>
      <c r="GC4" s="3">
        <f t="shared" si="18"/>
        <v>11209569.75</v>
      </c>
      <c r="GD4" s="35">
        <f t="shared" si="29"/>
        <v>5373871.6927381037</v>
      </c>
      <c r="GE4" s="35">
        <f t="shared" si="30"/>
        <v>53451.740250626142</v>
      </c>
      <c r="GF4" s="3">
        <f t="shared" si="19"/>
        <v>1173227.3999999999</v>
      </c>
      <c r="GG4" s="3">
        <f t="shared" si="20"/>
        <v>10036342.35</v>
      </c>
      <c r="GH4" s="18">
        <f t="shared" si="31"/>
        <v>1806541.6229999997</v>
      </c>
      <c r="GI4" s="18">
        <f t="shared" si="32"/>
        <v>5279523.2999999989</v>
      </c>
      <c r="GJ4" s="33">
        <f t="shared" si="21"/>
        <v>0.22525678666476778</v>
      </c>
      <c r="GK4" s="3">
        <f t="shared" si="22"/>
        <v>41423619862754.977</v>
      </c>
      <c r="GL4" s="18">
        <f t="shared" si="33"/>
        <v>186406289382397.37</v>
      </c>
      <c r="GM4" s="33">
        <f t="shared" si="23"/>
        <v>5925613.4704739368</v>
      </c>
      <c r="GN4" s="24">
        <f t="shared" si="24"/>
        <v>5925613.7508335132</v>
      </c>
      <c r="GO4">
        <v>3.1</v>
      </c>
      <c r="GP4">
        <v>2.4500000000000002</v>
      </c>
      <c r="GQ4">
        <v>49.92</v>
      </c>
      <c r="GR4">
        <v>74989.37</v>
      </c>
      <c r="GS4">
        <v>79.14</v>
      </c>
      <c r="GT4">
        <v>36.049999999999997</v>
      </c>
      <c r="GU4">
        <v>65.150000000000006</v>
      </c>
      <c r="GV4">
        <v>106.12</v>
      </c>
      <c r="GW4">
        <v>45.03</v>
      </c>
      <c r="GX4">
        <v>10.76</v>
      </c>
      <c r="GY4">
        <v>23.37</v>
      </c>
      <c r="GZ4">
        <v>84.11</v>
      </c>
      <c r="HA4">
        <v>13.23</v>
      </c>
      <c r="HB4">
        <v>2906.12</v>
      </c>
      <c r="HC4">
        <v>339.58</v>
      </c>
      <c r="HD4">
        <v>7.31</v>
      </c>
      <c r="HE4">
        <v>8.44</v>
      </c>
      <c r="HF4">
        <v>109.06</v>
      </c>
      <c r="HG4">
        <v>95.59</v>
      </c>
      <c r="HH4">
        <v>25.26</v>
      </c>
      <c r="HI4">
        <v>24.71</v>
      </c>
      <c r="HJ4">
        <v>2.4</v>
      </c>
      <c r="HK4">
        <v>383.5</v>
      </c>
      <c r="HL4">
        <v>54.97</v>
      </c>
      <c r="HM4">
        <v>8.66</v>
      </c>
      <c r="HN4">
        <v>81.7</v>
      </c>
      <c r="HO4">
        <v>33.35</v>
      </c>
      <c r="HP4">
        <v>47.04</v>
      </c>
      <c r="HQ4">
        <v>0.22</v>
      </c>
      <c r="HR4">
        <v>9.2100000000000009</v>
      </c>
      <c r="HS4">
        <v>40.82</v>
      </c>
      <c r="HT4">
        <v>57.58</v>
      </c>
      <c r="HU4">
        <v>16.39</v>
      </c>
      <c r="HV4">
        <v>1.93</v>
      </c>
      <c r="HW4">
        <v>11.27</v>
      </c>
      <c r="HX4">
        <v>79.83</v>
      </c>
      <c r="HY4">
        <v>15.95</v>
      </c>
      <c r="HZ4">
        <v>4.22</v>
      </c>
      <c r="IA4">
        <v>93.29</v>
      </c>
      <c r="IB4">
        <v>82.49</v>
      </c>
      <c r="IC4">
        <v>3.07</v>
      </c>
      <c r="ID4">
        <v>19.66</v>
      </c>
      <c r="IE4">
        <v>33.32</v>
      </c>
      <c r="IF4">
        <v>2.5099999999999998</v>
      </c>
      <c r="IG4" s="2">
        <v>55.82</v>
      </c>
      <c r="IH4">
        <v>58.83</v>
      </c>
      <c r="II4">
        <v>523.79</v>
      </c>
      <c r="IJ4">
        <v>44.18</v>
      </c>
      <c r="IK4">
        <v>10.59</v>
      </c>
      <c r="IL4">
        <v>195.34</v>
      </c>
      <c r="IM4">
        <v>82.12</v>
      </c>
      <c r="IN4">
        <v>19.989999999999998</v>
      </c>
      <c r="IO4">
        <v>0</v>
      </c>
      <c r="IP4">
        <v>0.95</v>
      </c>
      <c r="IQ4">
        <v>0.55000000000000004</v>
      </c>
      <c r="IR4">
        <v>0.26</v>
      </c>
      <c r="IS4">
        <v>2.25</v>
      </c>
      <c r="IT4">
        <v>3.27</v>
      </c>
      <c r="IU4">
        <v>0.31</v>
      </c>
      <c r="IV4">
        <v>6.71</v>
      </c>
    </row>
    <row r="5" spans="1:256" ht="15">
      <c r="A5">
        <v>530010</v>
      </c>
      <c r="B5" t="s">
        <v>246</v>
      </c>
      <c r="C5" t="s">
        <v>247</v>
      </c>
      <c r="D5" s="27">
        <f t="shared" si="0"/>
        <v>0.27100000000000002</v>
      </c>
      <c r="E5" s="27">
        <f t="shared" si="1"/>
        <v>1.0951823837910322E-2</v>
      </c>
      <c r="F5" s="28">
        <f t="shared" si="2"/>
        <v>7.5420530562482355</v>
      </c>
      <c r="G5" s="31">
        <f t="shared" si="3"/>
        <v>2.9199171091316603E-4</v>
      </c>
      <c r="H5" s="29">
        <f t="shared" si="4"/>
        <v>1.2399613609448517</v>
      </c>
      <c r="I5" s="30">
        <f t="shared" si="5"/>
        <v>1.5869773044270912</v>
      </c>
      <c r="J5">
        <v>2014</v>
      </c>
      <c r="K5">
        <v>53001000</v>
      </c>
      <c r="L5" t="s">
        <v>248</v>
      </c>
      <c r="M5" t="s">
        <v>249</v>
      </c>
      <c r="N5" t="s">
        <v>227</v>
      </c>
      <c r="O5" t="s">
        <v>228</v>
      </c>
      <c r="P5" t="s">
        <v>229</v>
      </c>
      <c r="Q5">
        <v>1</v>
      </c>
      <c r="R5">
        <v>1</v>
      </c>
      <c r="S5">
        <v>2754765</v>
      </c>
      <c r="T5">
        <v>2754765</v>
      </c>
      <c r="U5">
        <v>2852372</v>
      </c>
      <c r="V5">
        <v>2852372</v>
      </c>
      <c r="W5">
        <v>1</v>
      </c>
      <c r="X5">
        <v>0</v>
      </c>
      <c r="Y5">
        <v>0</v>
      </c>
      <c r="Z5">
        <v>1</v>
      </c>
      <c r="AA5">
        <v>1</v>
      </c>
      <c r="AB5">
        <v>1</v>
      </c>
      <c r="AC5">
        <v>1</v>
      </c>
      <c r="AD5">
        <v>1</v>
      </c>
      <c r="AE5">
        <v>1</v>
      </c>
      <c r="AF5">
        <v>0</v>
      </c>
      <c r="AG5">
        <v>0</v>
      </c>
      <c r="AJ5">
        <v>0</v>
      </c>
      <c r="AK5">
        <v>0</v>
      </c>
      <c r="AL5">
        <v>0</v>
      </c>
      <c r="AM5">
        <v>0</v>
      </c>
      <c r="AN5">
        <v>2779922</v>
      </c>
      <c r="AO5">
        <v>2739545</v>
      </c>
      <c r="AP5">
        <v>615776</v>
      </c>
      <c r="AQ5">
        <v>616298</v>
      </c>
      <c r="AR5">
        <v>969306</v>
      </c>
      <c r="AS5">
        <v>958393</v>
      </c>
      <c r="AT5">
        <v>611197</v>
      </c>
      <c r="AU5">
        <v>615413</v>
      </c>
      <c r="AV5">
        <v>9072.85</v>
      </c>
      <c r="AW5">
        <v>8978</v>
      </c>
      <c r="AX5">
        <v>251115</v>
      </c>
      <c r="AY5">
        <v>233277</v>
      </c>
      <c r="AZ5">
        <v>181510</v>
      </c>
      <c r="BA5">
        <v>182959</v>
      </c>
      <c r="BB5">
        <v>187122</v>
      </c>
      <c r="BC5">
        <v>245222</v>
      </c>
      <c r="BD5">
        <v>916985</v>
      </c>
      <c r="BE5">
        <v>900099</v>
      </c>
      <c r="BF5">
        <v>964671</v>
      </c>
      <c r="BG5">
        <v>954159</v>
      </c>
      <c r="BH5">
        <v>17613</v>
      </c>
      <c r="BJ5">
        <v>0</v>
      </c>
      <c r="BK5">
        <v>0</v>
      </c>
      <c r="BL5">
        <v>1177</v>
      </c>
      <c r="BM5">
        <v>146451</v>
      </c>
      <c r="BN5">
        <v>671610</v>
      </c>
      <c r="BO5">
        <v>652647</v>
      </c>
      <c r="BP5">
        <v>912439</v>
      </c>
      <c r="BQ5">
        <v>899644</v>
      </c>
      <c r="BR5">
        <v>151</v>
      </c>
      <c r="BT5">
        <v>2684794</v>
      </c>
      <c r="BU5">
        <v>2645799</v>
      </c>
      <c r="BV5">
        <v>245757</v>
      </c>
      <c r="BW5">
        <v>236579</v>
      </c>
      <c r="BX5">
        <v>382383</v>
      </c>
      <c r="BY5">
        <v>2476565</v>
      </c>
      <c r="BZ5">
        <v>805300</v>
      </c>
      <c r="CA5">
        <v>9786</v>
      </c>
      <c r="CB5">
        <v>528251</v>
      </c>
      <c r="CC5">
        <v>1143014</v>
      </c>
      <c r="CD5">
        <v>1441982</v>
      </c>
      <c r="CE5">
        <v>0</v>
      </c>
      <c r="CF5">
        <v>19460</v>
      </c>
      <c r="CG5">
        <v>116540</v>
      </c>
      <c r="CH5">
        <v>57757</v>
      </c>
      <c r="CI5">
        <v>66431</v>
      </c>
      <c r="CJ5">
        <v>2342083</v>
      </c>
      <c r="CK5">
        <v>2307969</v>
      </c>
      <c r="CL5">
        <v>493429</v>
      </c>
      <c r="CM5">
        <v>493762</v>
      </c>
      <c r="CN5">
        <v>831833</v>
      </c>
      <c r="CO5">
        <v>819161</v>
      </c>
      <c r="CP5">
        <v>6148.67</v>
      </c>
      <c r="CQ5">
        <v>5531</v>
      </c>
      <c r="CR5">
        <v>128352</v>
      </c>
      <c r="CS5">
        <v>128352</v>
      </c>
      <c r="CT5" s="15">
        <f t="shared" si="6"/>
        <v>0.81987339589015718</v>
      </c>
      <c r="CU5">
        <v>156551</v>
      </c>
      <c r="CV5">
        <v>785362</v>
      </c>
      <c r="CW5">
        <v>770718</v>
      </c>
      <c r="CX5">
        <v>534810</v>
      </c>
      <c r="CY5">
        <v>520445</v>
      </c>
      <c r="CZ5">
        <v>0</v>
      </c>
      <c r="DA5">
        <v>0</v>
      </c>
      <c r="DB5">
        <v>0</v>
      </c>
      <c r="DC5">
        <v>0</v>
      </c>
      <c r="DE5">
        <v>2261938</v>
      </c>
      <c r="DF5">
        <v>2228991</v>
      </c>
      <c r="DG5">
        <v>68865</v>
      </c>
      <c r="DH5">
        <v>1357715713.6700001</v>
      </c>
      <c r="DI5">
        <v>751027055.75999999</v>
      </c>
      <c r="DJ5">
        <v>604191487.22000003</v>
      </c>
      <c r="DK5">
        <v>93298324.879999995</v>
      </c>
      <c r="DL5">
        <v>1451014038.55</v>
      </c>
      <c r="DM5">
        <v>1310389072.46</v>
      </c>
      <c r="DN5">
        <v>2497170.69</v>
      </c>
      <c r="DO5">
        <v>301256269</v>
      </c>
      <c r="DP5">
        <v>235604792</v>
      </c>
      <c r="DQ5">
        <v>676276477.63</v>
      </c>
      <c r="DR5">
        <v>22219317.940000001</v>
      </c>
      <c r="DS5">
        <v>58381285.479999997</v>
      </c>
      <c r="DT5">
        <v>166650713.47999999</v>
      </c>
      <c r="DU5">
        <v>1202474626</v>
      </c>
      <c r="DV5">
        <v>47801836.859999999</v>
      </c>
      <c r="DW5">
        <v>1447161610.98</v>
      </c>
      <c r="DX5">
        <v>8243867.2199999997</v>
      </c>
      <c r="DY5">
        <v>110782160.62</v>
      </c>
      <c r="DZ5">
        <v>0</v>
      </c>
      <c r="EA5">
        <v>136065500.99000001</v>
      </c>
      <c r="EB5">
        <v>8674460</v>
      </c>
      <c r="EC5">
        <v>82222444.530000001</v>
      </c>
      <c r="ED5">
        <v>68075138.900000006</v>
      </c>
      <c r="EE5">
        <v>6750072.3600000003</v>
      </c>
      <c r="EF5">
        <v>2592</v>
      </c>
      <c r="EG5">
        <v>2746</v>
      </c>
      <c r="EH5">
        <v>142881330.47999999</v>
      </c>
      <c r="EI5">
        <v>77428527.5</v>
      </c>
      <c r="EJ5">
        <v>119885395.31999999</v>
      </c>
      <c r="EK5">
        <v>16612221.43</v>
      </c>
      <c r="EL5">
        <v>28793906.260000002</v>
      </c>
      <c r="EM5">
        <v>165291523.00999999</v>
      </c>
      <c r="EN5">
        <v>89143282.159999996</v>
      </c>
      <c r="EO5">
        <v>47801836.859999999</v>
      </c>
      <c r="EP5">
        <v>0</v>
      </c>
      <c r="EQ5">
        <v>136945119.02000001</v>
      </c>
      <c r="ER5">
        <v>0</v>
      </c>
      <c r="ES5">
        <v>0</v>
      </c>
      <c r="ET5">
        <v>0</v>
      </c>
      <c r="EU5">
        <v>0</v>
      </c>
      <c r="EV5">
        <v>0</v>
      </c>
      <c r="EW5">
        <v>0</v>
      </c>
      <c r="EX5">
        <v>0</v>
      </c>
      <c r="EY5">
        <v>0</v>
      </c>
      <c r="EZ5">
        <v>0</v>
      </c>
      <c r="FA5">
        <v>0</v>
      </c>
      <c r="FB5">
        <v>0</v>
      </c>
      <c r="FC5">
        <v>0</v>
      </c>
      <c r="FD5">
        <v>0</v>
      </c>
      <c r="FE5">
        <v>0</v>
      </c>
      <c r="FF5">
        <v>0</v>
      </c>
      <c r="FG5">
        <v>0</v>
      </c>
      <c r="FH5">
        <v>0</v>
      </c>
      <c r="FI5">
        <v>0</v>
      </c>
      <c r="FJ5">
        <v>1.56</v>
      </c>
      <c r="FK5">
        <v>670.42</v>
      </c>
      <c r="FL5">
        <v>4.21</v>
      </c>
      <c r="FM5">
        <v>3.95</v>
      </c>
      <c r="FN5" s="3">
        <f t="shared" si="7"/>
        <v>343673000</v>
      </c>
      <c r="FO5" s="3">
        <f t="shared" si="8"/>
        <v>187122000</v>
      </c>
      <c r="FP5" s="21">
        <f t="shared" si="9"/>
        <v>10511218.5</v>
      </c>
      <c r="FQ5" s="21">
        <f t="shared" si="25"/>
        <v>753524226.45000005</v>
      </c>
      <c r="FR5" s="24">
        <f t="shared" si="10"/>
        <v>3.6268466415145077E-2</v>
      </c>
      <c r="FS5" s="4">
        <f t="shared" si="11"/>
        <v>156551000</v>
      </c>
      <c r="FT5" s="21">
        <f t="shared" si="12"/>
        <v>3161125.9615384615</v>
      </c>
      <c r="FU5" s="24">
        <f t="shared" si="13"/>
        <v>1.360318321897723E-2</v>
      </c>
      <c r="FV5" s="27">
        <f t="shared" si="14"/>
        <v>184.4163302778388</v>
      </c>
      <c r="FW5" s="2">
        <f t="shared" si="15"/>
        <v>64652.497985003196</v>
      </c>
      <c r="FX5" s="3">
        <f t="shared" si="26"/>
        <v>236579000</v>
      </c>
      <c r="FY5" s="24">
        <f t="shared" si="16"/>
        <v>0.17131312459251186</v>
      </c>
      <c r="FZ5" s="3">
        <f t="shared" si="27"/>
        <v>68865000</v>
      </c>
      <c r="GA5" s="32">
        <f t="shared" si="17"/>
        <v>5.9604905110794568E-2</v>
      </c>
      <c r="GB5" s="34">
        <f t="shared" si="28"/>
        <v>42743014.75</v>
      </c>
      <c r="GC5" s="3">
        <f t="shared" si="18"/>
        <v>42743014.75</v>
      </c>
      <c r="GD5" s="35">
        <f t="shared" si="29"/>
        <v>24363518.407499995</v>
      </c>
      <c r="GE5" s="35">
        <f t="shared" si="30"/>
        <v>0</v>
      </c>
      <c r="GF5" s="3">
        <f t="shared" si="19"/>
        <v>7701120</v>
      </c>
      <c r="GG5" s="3">
        <f t="shared" si="20"/>
        <v>35041894.75</v>
      </c>
      <c r="GH5" s="18">
        <f t="shared" si="31"/>
        <v>6307541.0549999988</v>
      </c>
      <c r="GI5" s="18">
        <f t="shared" si="32"/>
        <v>34655040</v>
      </c>
      <c r="GJ5" s="33">
        <f t="shared" si="21"/>
        <v>0.26165646374025076</v>
      </c>
      <c r="GK5" s="3">
        <f t="shared" si="22"/>
        <v>0</v>
      </c>
      <c r="GL5" s="18">
        <f t="shared" si="33"/>
        <v>0</v>
      </c>
      <c r="GM5" s="33">
        <f t="shared" si="23"/>
        <v>0</v>
      </c>
      <c r="GN5" s="24">
        <f t="shared" si="24"/>
        <v>0.32126136885104534</v>
      </c>
      <c r="GO5">
        <v>4.04</v>
      </c>
      <c r="GP5">
        <v>3.86</v>
      </c>
      <c r="GQ5">
        <v>58.25</v>
      </c>
      <c r="GR5">
        <v>253381.97</v>
      </c>
      <c r="GS5">
        <v>99.56</v>
      </c>
      <c r="GT5">
        <v>72.67</v>
      </c>
      <c r="GU5">
        <v>97.64</v>
      </c>
      <c r="GV5">
        <v>93.82</v>
      </c>
      <c r="GW5">
        <v>25.44</v>
      </c>
      <c r="GX5">
        <v>15.77</v>
      </c>
      <c r="GY5">
        <v>70.61</v>
      </c>
      <c r="GZ5">
        <v>100</v>
      </c>
      <c r="HA5">
        <v>16.079999999999998</v>
      </c>
      <c r="HB5">
        <v>3326.71</v>
      </c>
      <c r="HC5">
        <v>537.87</v>
      </c>
      <c r="HD5">
        <v>13.63</v>
      </c>
      <c r="HE5">
        <v>11.07</v>
      </c>
      <c r="HF5">
        <v>180.46</v>
      </c>
      <c r="HG5">
        <v>97.46</v>
      </c>
      <c r="HH5">
        <v>82.11</v>
      </c>
      <c r="HI5">
        <v>21.61</v>
      </c>
      <c r="HJ5">
        <v>3.5</v>
      </c>
      <c r="HK5">
        <v>672.02</v>
      </c>
      <c r="HL5">
        <v>74.56</v>
      </c>
      <c r="HM5">
        <v>9.69</v>
      </c>
      <c r="HN5">
        <v>88.57</v>
      </c>
      <c r="HO5">
        <v>49.81</v>
      </c>
      <c r="HP5">
        <v>62.08</v>
      </c>
      <c r="HQ5">
        <v>10.09</v>
      </c>
      <c r="HR5">
        <v>10.52</v>
      </c>
      <c r="HS5">
        <v>56.24</v>
      </c>
      <c r="HT5">
        <v>70.099999999999994</v>
      </c>
      <c r="HU5">
        <v>4.8600000000000003</v>
      </c>
      <c r="HV5">
        <v>1.85</v>
      </c>
      <c r="HW5">
        <v>11.88</v>
      </c>
      <c r="HX5">
        <v>51.93</v>
      </c>
      <c r="HY5">
        <v>41.64</v>
      </c>
      <c r="HZ5">
        <v>6.43</v>
      </c>
      <c r="IA5">
        <v>94.26</v>
      </c>
      <c r="IB5">
        <v>99.85</v>
      </c>
      <c r="IC5">
        <v>4.33</v>
      </c>
      <c r="ID5">
        <v>70.61</v>
      </c>
      <c r="IE5">
        <v>82.11</v>
      </c>
      <c r="IF5">
        <v>2.41</v>
      </c>
      <c r="IG5" s="2">
        <v>27.1</v>
      </c>
      <c r="IH5">
        <v>20.64</v>
      </c>
      <c r="II5">
        <v>302.44</v>
      </c>
      <c r="IJ5">
        <v>72.900000000000006</v>
      </c>
      <c r="IK5">
        <v>15.72</v>
      </c>
      <c r="IL5">
        <v>74.739999999999995</v>
      </c>
      <c r="IM5">
        <v>97.46</v>
      </c>
      <c r="IN5">
        <v>82.11</v>
      </c>
      <c r="IO5">
        <v>97.87</v>
      </c>
      <c r="IP5">
        <v>0.94</v>
      </c>
      <c r="IQ5">
        <v>0.54</v>
      </c>
      <c r="IR5">
        <v>0.19</v>
      </c>
      <c r="IS5">
        <v>0.72</v>
      </c>
      <c r="IT5">
        <v>0.37</v>
      </c>
      <c r="IU5">
        <v>0.54</v>
      </c>
      <c r="IV5">
        <v>1.35</v>
      </c>
    </row>
    <row r="6" spans="1:256" ht="15">
      <c r="A6">
        <v>230440</v>
      </c>
      <c r="B6" t="s">
        <v>234</v>
      </c>
      <c r="C6" t="s">
        <v>235</v>
      </c>
      <c r="D6" s="27">
        <f t="shared" si="0"/>
        <v>0.42409999999999998</v>
      </c>
      <c r="E6" s="27">
        <f t="shared" si="1"/>
        <v>-0.26129987400341381</v>
      </c>
      <c r="F6" s="28">
        <f t="shared" si="2"/>
        <v>4.6132751378617485</v>
      </c>
      <c r="G6" s="31">
        <f t="shared" si="3"/>
        <v>1.4700424093536568E-4</v>
      </c>
      <c r="H6" s="29">
        <f t="shared" si="4"/>
        <v>0.57955834054531774</v>
      </c>
      <c r="I6" s="30">
        <f t="shared" si="5"/>
        <v>1.1270627967455298</v>
      </c>
      <c r="J6">
        <v>2014</v>
      </c>
      <c r="K6">
        <v>23044000</v>
      </c>
      <c r="L6" t="s">
        <v>236</v>
      </c>
      <c r="M6" t="s">
        <v>237</v>
      </c>
      <c r="N6" t="s">
        <v>227</v>
      </c>
      <c r="O6" t="s">
        <v>228</v>
      </c>
      <c r="P6" t="s">
        <v>229</v>
      </c>
      <c r="Q6">
        <v>151</v>
      </c>
      <c r="R6">
        <v>73</v>
      </c>
      <c r="S6">
        <v>5862595</v>
      </c>
      <c r="T6">
        <v>4924981</v>
      </c>
      <c r="U6">
        <v>7516665</v>
      </c>
      <c r="V6">
        <v>5884120</v>
      </c>
      <c r="W6">
        <v>143</v>
      </c>
      <c r="X6">
        <v>7</v>
      </c>
      <c r="Y6">
        <v>1</v>
      </c>
      <c r="Z6">
        <v>151</v>
      </c>
      <c r="AA6">
        <v>151</v>
      </c>
      <c r="AB6">
        <v>73</v>
      </c>
      <c r="AC6">
        <v>56</v>
      </c>
      <c r="AD6">
        <v>9</v>
      </c>
      <c r="AE6">
        <v>68</v>
      </c>
      <c r="AF6">
        <v>4</v>
      </c>
      <c r="AG6">
        <v>1</v>
      </c>
      <c r="AJ6">
        <v>0</v>
      </c>
      <c r="AK6">
        <v>0</v>
      </c>
      <c r="AL6">
        <v>74</v>
      </c>
      <c r="AM6">
        <v>3</v>
      </c>
      <c r="AN6">
        <v>4479210</v>
      </c>
      <c r="AO6">
        <v>4926880</v>
      </c>
      <c r="AP6">
        <v>1567671</v>
      </c>
      <c r="AQ6">
        <v>1524259</v>
      </c>
      <c r="AR6">
        <v>1782006</v>
      </c>
      <c r="AS6">
        <v>1730550</v>
      </c>
      <c r="AT6">
        <v>1566580</v>
      </c>
      <c r="AU6">
        <v>1523075</v>
      </c>
      <c r="AV6">
        <v>12651.14</v>
      </c>
      <c r="AW6">
        <v>12303</v>
      </c>
      <c r="AX6">
        <v>387128.36</v>
      </c>
      <c r="AY6">
        <v>350627.53</v>
      </c>
      <c r="AZ6">
        <v>217200.05</v>
      </c>
      <c r="BA6">
        <v>217237</v>
      </c>
      <c r="BB6">
        <v>277263.58</v>
      </c>
      <c r="BC6">
        <v>288842.83</v>
      </c>
      <c r="BD6">
        <v>1666045</v>
      </c>
      <c r="BE6">
        <v>1618186</v>
      </c>
      <c r="BF6">
        <v>1780767</v>
      </c>
      <c r="BG6">
        <v>1729265</v>
      </c>
      <c r="BH6">
        <v>36307.839999999997</v>
      </c>
      <c r="BJ6">
        <v>0</v>
      </c>
      <c r="BK6">
        <v>0</v>
      </c>
      <c r="BL6">
        <v>0</v>
      </c>
      <c r="BM6">
        <v>193456.17</v>
      </c>
      <c r="BN6">
        <v>1698590</v>
      </c>
      <c r="BO6">
        <v>1645521</v>
      </c>
      <c r="BP6">
        <v>1664972</v>
      </c>
      <c r="BQ6">
        <v>1617082</v>
      </c>
      <c r="BR6">
        <v>9910.77</v>
      </c>
      <c r="BT6">
        <v>4479210</v>
      </c>
      <c r="BU6">
        <v>4926880</v>
      </c>
      <c r="BV6">
        <v>330786.90999999997</v>
      </c>
      <c r="BW6">
        <v>199661.73</v>
      </c>
      <c r="BX6">
        <v>287890</v>
      </c>
      <c r="BY6">
        <v>3771762</v>
      </c>
      <c r="BZ6">
        <v>1064988</v>
      </c>
      <c r="CA6">
        <v>-251678</v>
      </c>
      <c r="CB6">
        <v>242842</v>
      </c>
      <c r="CC6">
        <v>2463932</v>
      </c>
      <c r="CD6">
        <v>1047043</v>
      </c>
      <c r="CE6">
        <v>0</v>
      </c>
      <c r="CF6">
        <v>-355309</v>
      </c>
      <c r="CG6">
        <v>403536</v>
      </c>
      <c r="CH6">
        <v>245776</v>
      </c>
      <c r="CI6">
        <v>142145</v>
      </c>
      <c r="CJ6">
        <v>1714183</v>
      </c>
      <c r="CK6">
        <v>1749178</v>
      </c>
      <c r="CL6">
        <v>510813</v>
      </c>
      <c r="CM6">
        <v>468735</v>
      </c>
      <c r="CN6">
        <v>670707</v>
      </c>
      <c r="CO6">
        <v>616681</v>
      </c>
      <c r="CP6">
        <v>4348.75</v>
      </c>
      <c r="CQ6">
        <v>4286</v>
      </c>
      <c r="CR6">
        <v>80366.820000000007</v>
      </c>
      <c r="CS6">
        <v>80366.820000000007</v>
      </c>
      <c r="CT6" s="15">
        <f t="shared" si="6"/>
        <v>0.86240607401704938</v>
      </c>
      <c r="CU6">
        <v>93189.07</v>
      </c>
      <c r="CV6">
        <v>607629</v>
      </c>
      <c r="CW6">
        <v>558092</v>
      </c>
      <c r="CX6">
        <v>542113</v>
      </c>
      <c r="CY6">
        <v>494467</v>
      </c>
      <c r="CZ6">
        <v>0</v>
      </c>
      <c r="DA6">
        <v>0</v>
      </c>
      <c r="DB6">
        <v>0</v>
      </c>
      <c r="DC6">
        <v>0</v>
      </c>
      <c r="DE6">
        <v>1714183</v>
      </c>
      <c r="DF6">
        <v>1749178</v>
      </c>
      <c r="DG6">
        <v>21077.69</v>
      </c>
      <c r="DH6">
        <v>870638011.19000006</v>
      </c>
      <c r="DI6">
        <v>633794400.32000005</v>
      </c>
      <c r="DJ6">
        <v>236843610.87</v>
      </c>
      <c r="DK6">
        <v>28588214.379999999</v>
      </c>
      <c r="DL6">
        <v>899226225.57000005</v>
      </c>
      <c r="DM6">
        <v>893913622.66999996</v>
      </c>
      <c r="DN6">
        <v>0</v>
      </c>
      <c r="DO6">
        <v>279418313.04000002</v>
      </c>
      <c r="DP6">
        <v>262229343</v>
      </c>
      <c r="DQ6">
        <v>241979168.71000001</v>
      </c>
      <c r="DR6">
        <v>42435396.140000001</v>
      </c>
      <c r="DS6">
        <v>66703178.549999997</v>
      </c>
      <c r="DT6">
        <v>164962403.77000001</v>
      </c>
      <c r="DU6">
        <v>669394682.35000002</v>
      </c>
      <c r="DV6">
        <v>49979171.740000002</v>
      </c>
      <c r="DW6">
        <v>1240762017.9400001</v>
      </c>
      <c r="DX6">
        <v>9316390.5800000001</v>
      </c>
      <c r="DY6">
        <v>503851860.97000003</v>
      </c>
      <c r="DZ6">
        <v>38319832.710000001</v>
      </c>
      <c r="EA6">
        <v>-33189738.350000001</v>
      </c>
      <c r="EB6">
        <v>17536302.879999999</v>
      </c>
      <c r="EC6">
        <v>138151750.58000001</v>
      </c>
      <c r="ED6">
        <v>97671299.989999995</v>
      </c>
      <c r="EE6">
        <v>354354.86</v>
      </c>
      <c r="EF6">
        <v>1709</v>
      </c>
      <c r="EG6">
        <v>1657</v>
      </c>
      <c r="EH6">
        <v>148184440.81999999</v>
      </c>
      <c r="EI6">
        <v>0</v>
      </c>
      <c r="EJ6">
        <v>84088107.299999997</v>
      </c>
      <c r="EK6">
        <v>33192567.170000002</v>
      </c>
      <c r="EL6">
        <v>128213121.54000001</v>
      </c>
      <c r="EM6">
        <v>245493796.00999999</v>
      </c>
      <c r="EN6">
        <v>52394440.310000002</v>
      </c>
      <c r="EO6">
        <v>25596010.91</v>
      </c>
      <c r="EP6">
        <v>24383160.829999998</v>
      </c>
      <c r="EQ6">
        <v>102373612.05</v>
      </c>
      <c r="ER6">
        <v>0</v>
      </c>
      <c r="ES6">
        <v>0</v>
      </c>
      <c r="ET6">
        <v>0</v>
      </c>
      <c r="EU6">
        <v>0</v>
      </c>
      <c r="EV6">
        <v>0</v>
      </c>
      <c r="EW6">
        <v>0</v>
      </c>
      <c r="EX6">
        <v>0</v>
      </c>
      <c r="EY6">
        <v>0</v>
      </c>
      <c r="EZ6">
        <v>0</v>
      </c>
      <c r="FA6">
        <v>0</v>
      </c>
      <c r="FJ6">
        <v>1.1399999999999999</v>
      </c>
      <c r="FK6">
        <v>1426.01</v>
      </c>
      <c r="FL6">
        <v>3.35</v>
      </c>
      <c r="FM6">
        <v>2.35</v>
      </c>
      <c r="FN6" s="3">
        <f t="shared" si="7"/>
        <v>370452650</v>
      </c>
      <c r="FO6" s="3">
        <f t="shared" si="8"/>
        <v>277263580</v>
      </c>
      <c r="FP6" s="21">
        <f t="shared" si="9"/>
        <v>15574748.407307692</v>
      </c>
      <c r="FQ6" s="21">
        <f t="shared" si="25"/>
        <v>633794400.32000005</v>
      </c>
      <c r="FR6" s="24">
        <f t="shared" si="10"/>
        <v>6.3891927474516316E-2</v>
      </c>
      <c r="FS6" s="4">
        <f t="shared" si="11"/>
        <v>93189070</v>
      </c>
      <c r="FT6" s="21">
        <f t="shared" si="12"/>
        <v>1881702.3750000002</v>
      </c>
      <c r="FU6" s="24">
        <f t="shared" si="13"/>
        <v>2.0656779201383573E-2</v>
      </c>
      <c r="FV6" s="27">
        <f t="shared" si="14"/>
        <v>169.58933530139075</v>
      </c>
      <c r="FW6" s="2">
        <f t="shared" si="15"/>
        <v>114550.12169571468</v>
      </c>
      <c r="FX6" s="3">
        <f t="shared" si="26"/>
        <v>199661730</v>
      </c>
      <c r="FY6" s="24">
        <f t="shared" si="16"/>
        <v>9.7575615286363979E-2</v>
      </c>
      <c r="FZ6" s="3">
        <f t="shared" si="27"/>
        <v>21077690</v>
      </c>
      <c r="GA6" s="32">
        <f t="shared" si="17"/>
        <v>3.0647660664496385E-2</v>
      </c>
      <c r="GB6" s="34">
        <f t="shared" si="28"/>
        <v>31283839.75</v>
      </c>
      <c r="GC6" s="3">
        <f t="shared" si="18"/>
        <v>31283839.75</v>
      </c>
      <c r="GD6" s="35">
        <f t="shared" si="29"/>
        <v>17831788.657499999</v>
      </c>
      <c r="GE6" s="35">
        <f t="shared" si="30"/>
        <v>0</v>
      </c>
      <c r="GF6" s="3">
        <f t="shared" si="19"/>
        <v>4822009.2</v>
      </c>
      <c r="GG6" s="3">
        <f t="shared" si="20"/>
        <v>26461830.550000001</v>
      </c>
      <c r="GH6" s="18">
        <f t="shared" si="31"/>
        <v>4763129.4989999998</v>
      </c>
      <c r="GI6" s="18">
        <f t="shared" si="32"/>
        <v>21699041.399999999</v>
      </c>
      <c r="GJ6" s="33">
        <f t="shared" si="21"/>
        <v>0.28396217387940448</v>
      </c>
      <c r="GK6" s="3">
        <f t="shared" si="22"/>
        <v>0</v>
      </c>
      <c r="GL6" s="18">
        <f t="shared" si="33"/>
        <v>0</v>
      </c>
      <c r="GM6" s="33">
        <f t="shared" si="23"/>
        <v>0</v>
      </c>
      <c r="GN6" s="24">
        <f t="shared" si="24"/>
        <v>0.31460983454390085</v>
      </c>
      <c r="GO6">
        <v>2.29</v>
      </c>
      <c r="GP6">
        <v>2.54</v>
      </c>
      <c r="GQ6">
        <v>32.799999999999997</v>
      </c>
      <c r="GR6">
        <v>143778.47</v>
      </c>
      <c r="GS6">
        <v>99.93</v>
      </c>
      <c r="GT6">
        <v>57.58</v>
      </c>
      <c r="GU6">
        <v>74.61</v>
      </c>
      <c r="GV6">
        <v>70.17</v>
      </c>
      <c r="GW6">
        <v>26.5</v>
      </c>
      <c r="GX6">
        <v>10.31</v>
      </c>
      <c r="GY6">
        <v>36.99</v>
      </c>
      <c r="GZ6">
        <v>100</v>
      </c>
      <c r="HA6">
        <v>13.16</v>
      </c>
      <c r="HB6">
        <v>2830.34</v>
      </c>
      <c r="HC6">
        <v>847.95</v>
      </c>
      <c r="HD6">
        <v>7.46</v>
      </c>
      <c r="HE6">
        <v>8.33</v>
      </c>
      <c r="HF6">
        <v>126.55</v>
      </c>
      <c r="HG6">
        <v>76.400000000000006</v>
      </c>
      <c r="HH6">
        <v>29.24</v>
      </c>
      <c r="HI6">
        <v>18.37</v>
      </c>
      <c r="HJ6">
        <v>1.81</v>
      </c>
      <c r="HK6">
        <v>278.92</v>
      </c>
      <c r="HL6">
        <v>73.5</v>
      </c>
      <c r="HM6">
        <v>0.59</v>
      </c>
      <c r="HN6">
        <v>76.89</v>
      </c>
      <c r="HO6">
        <v>27.79</v>
      </c>
      <c r="HP6">
        <v>46.74</v>
      </c>
      <c r="HQ6">
        <v>11.76</v>
      </c>
      <c r="HR6">
        <v>17.02</v>
      </c>
      <c r="HS6">
        <v>36.15</v>
      </c>
      <c r="HT6">
        <v>60.79</v>
      </c>
      <c r="HU6">
        <v>9.9600000000000009</v>
      </c>
      <c r="HV6">
        <v>6.34</v>
      </c>
      <c r="HW6">
        <v>22.14</v>
      </c>
      <c r="HX6">
        <v>70.48</v>
      </c>
      <c r="HY6">
        <v>26.34</v>
      </c>
      <c r="HZ6">
        <v>3.18</v>
      </c>
      <c r="IA6">
        <v>93.5</v>
      </c>
      <c r="IB6">
        <v>99.98</v>
      </c>
      <c r="IC6">
        <v>1.0900000000000001</v>
      </c>
      <c r="ID6">
        <v>36.99</v>
      </c>
      <c r="IE6">
        <v>34.81</v>
      </c>
      <c r="IF6">
        <v>0.83</v>
      </c>
      <c r="IG6" s="2">
        <v>42.41</v>
      </c>
      <c r="IH6">
        <v>35.130000000000003</v>
      </c>
      <c r="II6">
        <v>283.51</v>
      </c>
      <c r="IJ6">
        <v>57.59</v>
      </c>
      <c r="IK6">
        <v>10.31</v>
      </c>
      <c r="IL6">
        <v>111.86</v>
      </c>
      <c r="IM6">
        <v>59.59</v>
      </c>
      <c r="IN6">
        <v>22.81</v>
      </c>
      <c r="IO6">
        <v>85.45</v>
      </c>
      <c r="IP6">
        <v>0.52</v>
      </c>
      <c r="IQ6">
        <v>0.26</v>
      </c>
      <c r="IR6">
        <v>0.3</v>
      </c>
      <c r="IS6">
        <v>1.19</v>
      </c>
      <c r="IT6">
        <v>0.53</v>
      </c>
      <c r="IU6">
        <v>0.35</v>
      </c>
      <c r="IV6">
        <v>-33.93</v>
      </c>
    </row>
    <row r="7" spans="1:256" ht="15">
      <c r="A7">
        <v>250750</v>
      </c>
      <c r="B7" t="s">
        <v>242</v>
      </c>
      <c r="C7" t="s">
        <v>243</v>
      </c>
      <c r="D7" s="27">
        <f t="shared" si="0"/>
        <v>0.38750000000000001</v>
      </c>
      <c r="E7" s="27">
        <f t="shared" si="1"/>
        <v>-2.2652795700364724E-2</v>
      </c>
      <c r="F7" s="28">
        <f t="shared" si="2"/>
        <v>17.467691381484435</v>
      </c>
      <c r="G7" s="31">
        <f t="shared" si="3"/>
        <v>1.7445196948703118E-4</v>
      </c>
      <c r="H7" s="29">
        <f t="shared" si="4"/>
        <v>0.86989067616786919</v>
      </c>
      <c r="I7" s="30">
        <f t="shared" si="5"/>
        <v>1.7222378220681329</v>
      </c>
      <c r="J7">
        <v>2014</v>
      </c>
      <c r="K7">
        <v>25075000</v>
      </c>
      <c r="L7" t="s">
        <v>244</v>
      </c>
      <c r="M7" t="s">
        <v>245</v>
      </c>
      <c r="N7" t="s">
        <v>227</v>
      </c>
      <c r="O7" t="s">
        <v>228</v>
      </c>
      <c r="P7" t="s">
        <v>229</v>
      </c>
      <c r="Q7">
        <v>194</v>
      </c>
      <c r="R7">
        <v>21</v>
      </c>
      <c r="S7">
        <v>2776732</v>
      </c>
      <c r="T7">
        <v>1864132</v>
      </c>
      <c r="U7">
        <v>3578960</v>
      </c>
      <c r="V7">
        <v>2047549</v>
      </c>
      <c r="W7">
        <v>58</v>
      </c>
      <c r="X7">
        <v>115</v>
      </c>
      <c r="Y7">
        <v>21</v>
      </c>
      <c r="Z7">
        <v>194</v>
      </c>
      <c r="AA7">
        <v>194</v>
      </c>
      <c r="AB7">
        <v>21</v>
      </c>
      <c r="AC7">
        <v>24</v>
      </c>
      <c r="AD7">
        <v>0</v>
      </c>
      <c r="AE7">
        <v>7</v>
      </c>
      <c r="AF7">
        <v>14</v>
      </c>
      <c r="AG7">
        <v>0</v>
      </c>
      <c r="AJ7">
        <v>2</v>
      </c>
      <c r="AK7">
        <v>8</v>
      </c>
      <c r="AL7">
        <v>51</v>
      </c>
      <c r="AM7">
        <v>102</v>
      </c>
      <c r="AN7">
        <v>2874018</v>
      </c>
      <c r="AO7">
        <v>2760879</v>
      </c>
      <c r="AP7">
        <v>810480</v>
      </c>
      <c r="AQ7">
        <v>790267</v>
      </c>
      <c r="AR7">
        <v>912806</v>
      </c>
      <c r="AS7">
        <v>871089</v>
      </c>
      <c r="AT7">
        <v>711520</v>
      </c>
      <c r="AU7">
        <v>689183</v>
      </c>
      <c r="AV7">
        <v>4809.2700000000004</v>
      </c>
      <c r="AW7">
        <v>4654.49</v>
      </c>
      <c r="AX7">
        <v>224126.18</v>
      </c>
      <c r="AY7">
        <v>205311.42</v>
      </c>
      <c r="AZ7">
        <v>96427.65</v>
      </c>
      <c r="BA7">
        <v>130681.52</v>
      </c>
      <c r="BB7">
        <v>136381.12</v>
      </c>
      <c r="BC7">
        <v>118463.83</v>
      </c>
      <c r="BD7">
        <v>860865</v>
      </c>
      <c r="BE7">
        <v>826076</v>
      </c>
      <c r="BF7">
        <v>811602</v>
      </c>
      <c r="BG7">
        <v>768484</v>
      </c>
      <c r="BH7">
        <v>6854.78</v>
      </c>
      <c r="BJ7">
        <v>0</v>
      </c>
      <c r="BK7">
        <v>0</v>
      </c>
      <c r="BL7">
        <v>4098.6000000000004</v>
      </c>
      <c r="BM7">
        <v>83983.71</v>
      </c>
      <c r="BN7">
        <v>991146</v>
      </c>
      <c r="BO7">
        <v>956078</v>
      </c>
      <c r="BP7">
        <v>763573</v>
      </c>
      <c r="BQ7">
        <v>733859</v>
      </c>
      <c r="BR7">
        <v>10762.53</v>
      </c>
      <c r="BT7">
        <v>2688822</v>
      </c>
      <c r="BU7">
        <v>2638686</v>
      </c>
      <c r="BV7">
        <v>0</v>
      </c>
      <c r="BW7">
        <v>211248.88</v>
      </c>
      <c r="BX7">
        <v>332158</v>
      </c>
      <c r="BY7">
        <v>1180246</v>
      </c>
      <c r="BZ7">
        <v>307181</v>
      </c>
      <c r="CA7">
        <v>-11137</v>
      </c>
      <c r="CB7">
        <v>217907</v>
      </c>
      <c r="CC7">
        <v>655158</v>
      </c>
      <c r="CD7">
        <v>559339</v>
      </c>
      <c r="CE7">
        <v>0</v>
      </c>
      <c r="CF7">
        <v>5310</v>
      </c>
      <c r="CG7">
        <v>848088</v>
      </c>
      <c r="CH7">
        <v>10412</v>
      </c>
      <c r="CI7">
        <v>16239</v>
      </c>
      <c r="CJ7">
        <v>1034849</v>
      </c>
      <c r="CK7">
        <v>789978</v>
      </c>
      <c r="CL7">
        <v>254710</v>
      </c>
      <c r="CM7">
        <v>191812</v>
      </c>
      <c r="CN7">
        <v>337188</v>
      </c>
      <c r="CO7">
        <v>255536</v>
      </c>
      <c r="CP7">
        <v>1085.7</v>
      </c>
      <c r="CQ7">
        <v>1062.99</v>
      </c>
      <c r="CR7">
        <v>57814.68</v>
      </c>
      <c r="CS7">
        <v>56939.44</v>
      </c>
      <c r="CT7" s="15">
        <f t="shared" si="6"/>
        <v>1.0802225879913887</v>
      </c>
      <c r="CU7">
        <v>52710.84</v>
      </c>
      <c r="CV7">
        <v>305561</v>
      </c>
      <c r="CW7">
        <v>233132</v>
      </c>
      <c r="CX7">
        <v>254738</v>
      </c>
      <c r="CY7">
        <v>224828</v>
      </c>
      <c r="CZ7">
        <v>0</v>
      </c>
      <c r="DA7">
        <v>0</v>
      </c>
      <c r="DB7">
        <v>0</v>
      </c>
      <c r="DC7">
        <v>0</v>
      </c>
      <c r="DE7">
        <v>1034849</v>
      </c>
      <c r="DF7">
        <v>789978</v>
      </c>
      <c r="DG7">
        <v>5276.04</v>
      </c>
      <c r="DH7">
        <v>545898620.73000002</v>
      </c>
      <c r="DI7">
        <v>400902430.73000002</v>
      </c>
      <c r="DJ7">
        <v>142415351.53</v>
      </c>
      <c r="DK7">
        <v>59715355.789999999</v>
      </c>
      <c r="DL7">
        <v>605613976.51999998</v>
      </c>
      <c r="DM7">
        <v>525860012.83999997</v>
      </c>
      <c r="DN7">
        <v>2580838.4700000002</v>
      </c>
      <c r="DO7">
        <v>311775749.13</v>
      </c>
      <c r="DP7">
        <v>294338909.95999998</v>
      </c>
      <c r="DQ7">
        <v>283289750.51999998</v>
      </c>
      <c r="DR7">
        <v>9975076.4800000004</v>
      </c>
      <c r="DS7">
        <v>45641542.869999997</v>
      </c>
      <c r="DT7">
        <v>60028897.259999998</v>
      </c>
      <c r="DU7">
        <v>490217407.10000002</v>
      </c>
      <c r="DV7">
        <v>24144047.260000002</v>
      </c>
      <c r="DW7">
        <v>616751142.25999999</v>
      </c>
      <c r="DX7">
        <v>0</v>
      </c>
      <c r="DY7">
        <v>67431853.430000007</v>
      </c>
      <c r="DZ7">
        <v>0</v>
      </c>
      <c r="EA7">
        <v>52868282.609999999</v>
      </c>
      <c r="EB7">
        <v>5840649.71</v>
      </c>
      <c r="EC7">
        <v>47706733.93</v>
      </c>
      <c r="ED7">
        <v>30031946.609999999</v>
      </c>
      <c r="EE7">
        <v>2844371.1</v>
      </c>
      <c r="EF7">
        <v>3303</v>
      </c>
      <c r="EG7">
        <v>3079</v>
      </c>
      <c r="EH7">
        <v>38413857.359999999</v>
      </c>
      <c r="EI7">
        <v>29117184.760000002</v>
      </c>
      <c r="EJ7">
        <v>12518612.029999999</v>
      </c>
      <c r="EK7">
        <v>31791118.690000001</v>
      </c>
      <c r="EL7">
        <v>36273320.920000002</v>
      </c>
      <c r="EM7">
        <v>80583051.640000001</v>
      </c>
      <c r="EN7">
        <v>12509216.939999999</v>
      </c>
      <c r="EO7">
        <v>24069953</v>
      </c>
      <c r="EP7">
        <v>74094.259999999995</v>
      </c>
      <c r="EQ7">
        <v>36653264.200000003</v>
      </c>
      <c r="ER7">
        <v>0</v>
      </c>
      <c r="ES7">
        <v>0</v>
      </c>
      <c r="ET7">
        <v>0</v>
      </c>
      <c r="EU7">
        <v>0</v>
      </c>
      <c r="EV7">
        <v>0</v>
      </c>
      <c r="EW7">
        <v>0</v>
      </c>
      <c r="EX7">
        <v>0</v>
      </c>
      <c r="EY7">
        <v>0</v>
      </c>
      <c r="EZ7">
        <v>0</v>
      </c>
      <c r="FA7">
        <v>0</v>
      </c>
      <c r="FJ7">
        <v>1.1100000000000001</v>
      </c>
      <c r="FK7">
        <v>372.39</v>
      </c>
      <c r="FL7">
        <v>3.26</v>
      </c>
      <c r="FM7">
        <v>2.89</v>
      </c>
      <c r="FN7" s="3">
        <f t="shared" si="7"/>
        <v>189091960</v>
      </c>
      <c r="FO7" s="3">
        <f t="shared" si="8"/>
        <v>136381120</v>
      </c>
      <c r="FP7" s="21">
        <f t="shared" si="9"/>
        <v>7660947.1446153848</v>
      </c>
      <c r="FQ7" s="21">
        <f t="shared" si="25"/>
        <v>403483269.20000005</v>
      </c>
      <c r="FR7" s="24">
        <f t="shared" si="10"/>
        <v>4.9366266451377309E-2</v>
      </c>
      <c r="FS7" s="4">
        <f t="shared" si="11"/>
        <v>52710840</v>
      </c>
      <c r="FT7" s="21">
        <f t="shared" si="12"/>
        <v>1064353.5</v>
      </c>
      <c r="FU7" s="24">
        <f t="shared" si="13"/>
        <v>1.9431325838612703E-2</v>
      </c>
      <c r="FV7" s="27">
        <f t="shared" si="14"/>
        <v>130.00854695746131</v>
      </c>
      <c r="FW7" s="2">
        <f t="shared" si="15"/>
        <v>52752.515125444785</v>
      </c>
      <c r="FX7" s="3">
        <f t="shared" si="26"/>
        <v>211248880</v>
      </c>
      <c r="FY7" s="24">
        <f t="shared" si="16"/>
        <v>0.2098840604916575</v>
      </c>
      <c r="FZ7" s="3">
        <f t="shared" si="27"/>
        <v>5276040</v>
      </c>
      <c r="GA7" s="32">
        <f t="shared" si="17"/>
        <v>1.3562740036015363E-2</v>
      </c>
      <c r="GB7" s="34">
        <f t="shared" si="28"/>
        <v>18885994.25</v>
      </c>
      <c r="GC7" s="3">
        <f t="shared" si="18"/>
        <v>18885994.25</v>
      </c>
      <c r="GD7" s="35">
        <f t="shared" si="29"/>
        <v>10602048.195541088</v>
      </c>
      <c r="GE7" s="35">
        <f t="shared" si="30"/>
        <v>8577.290892574325</v>
      </c>
      <c r="GF7" s="3">
        <f t="shared" si="19"/>
        <v>3416366.4</v>
      </c>
      <c r="GG7" s="3">
        <f t="shared" si="20"/>
        <v>15469627.85</v>
      </c>
      <c r="GH7" s="18">
        <f t="shared" si="31"/>
        <v>2784533.0129999998</v>
      </c>
      <c r="GI7" s="18">
        <f t="shared" si="32"/>
        <v>15373648.799999999</v>
      </c>
      <c r="GJ7" s="33">
        <f t="shared" si="21"/>
        <v>0.34448667129948979</v>
      </c>
      <c r="GK7" s="3">
        <f t="shared" si="22"/>
        <v>16529777607369.961</v>
      </c>
      <c r="GL7" s="18">
        <f t="shared" si="33"/>
        <v>74383999233164.812</v>
      </c>
      <c r="GM7" s="33">
        <f t="shared" si="23"/>
        <v>1411170.8186241162</v>
      </c>
      <c r="GN7" s="24">
        <f t="shared" si="24"/>
        <v>1411171.1766735276</v>
      </c>
      <c r="GO7">
        <v>3.03</v>
      </c>
      <c r="GP7">
        <v>2.7</v>
      </c>
      <c r="GQ7">
        <v>55.67</v>
      </c>
      <c r="GR7">
        <v>88777.73</v>
      </c>
      <c r="GS7">
        <v>87.5</v>
      </c>
      <c r="GT7">
        <v>46.08</v>
      </c>
      <c r="GU7">
        <v>51.98</v>
      </c>
      <c r="GV7">
        <v>88.51</v>
      </c>
      <c r="GW7">
        <v>36.08</v>
      </c>
      <c r="GX7">
        <v>10.17</v>
      </c>
      <c r="GY7">
        <v>45.67</v>
      </c>
      <c r="GZ7">
        <v>98.49</v>
      </c>
      <c r="HA7">
        <v>12.36</v>
      </c>
      <c r="HB7">
        <v>3867.17</v>
      </c>
      <c r="HC7">
        <v>307.27999999999997</v>
      </c>
      <c r="HD7">
        <v>4.8600000000000003</v>
      </c>
      <c r="HE7">
        <v>4.4800000000000004</v>
      </c>
      <c r="HF7">
        <v>123.09</v>
      </c>
      <c r="HG7">
        <v>96.83</v>
      </c>
      <c r="HH7">
        <v>37.270000000000003</v>
      </c>
      <c r="HI7">
        <v>20.56</v>
      </c>
      <c r="HJ7">
        <v>2.59</v>
      </c>
      <c r="HK7">
        <v>412.53</v>
      </c>
      <c r="HL7">
        <v>63.92</v>
      </c>
      <c r="HM7">
        <v>13.17</v>
      </c>
      <c r="HN7">
        <v>89.8</v>
      </c>
      <c r="HO7">
        <v>51.89</v>
      </c>
      <c r="HP7">
        <v>62.89</v>
      </c>
      <c r="HQ7">
        <v>6.71</v>
      </c>
      <c r="HR7">
        <v>7.04</v>
      </c>
      <c r="HS7">
        <v>57.79</v>
      </c>
      <c r="HT7">
        <v>70.03</v>
      </c>
      <c r="HU7">
        <v>9.31</v>
      </c>
      <c r="HV7">
        <v>2.0299999999999998</v>
      </c>
      <c r="HW7">
        <v>7.84</v>
      </c>
      <c r="HX7">
        <v>66.62</v>
      </c>
      <c r="HY7">
        <v>23.52</v>
      </c>
      <c r="HZ7">
        <v>9.86</v>
      </c>
      <c r="IA7">
        <v>94.57</v>
      </c>
      <c r="IB7">
        <v>76.180000000000007</v>
      </c>
      <c r="IC7">
        <v>3.99</v>
      </c>
      <c r="ID7">
        <v>44.98</v>
      </c>
      <c r="IE7">
        <v>55.51</v>
      </c>
      <c r="IF7">
        <v>3.12</v>
      </c>
      <c r="IG7" s="2">
        <v>38.75</v>
      </c>
      <c r="IH7">
        <v>47.87</v>
      </c>
      <c r="II7">
        <v>283.02999999999997</v>
      </c>
      <c r="IJ7">
        <v>61.25</v>
      </c>
      <c r="IK7">
        <v>11.83</v>
      </c>
      <c r="IL7">
        <v>185.33</v>
      </c>
      <c r="IM7">
        <v>80.3</v>
      </c>
      <c r="IN7">
        <v>28.91</v>
      </c>
      <c r="IO7">
        <v>0</v>
      </c>
      <c r="IP7">
        <v>0.94</v>
      </c>
      <c r="IQ7">
        <v>0.09</v>
      </c>
      <c r="IR7">
        <v>0.21</v>
      </c>
      <c r="IS7">
        <v>1.52</v>
      </c>
      <c r="IT7">
        <v>2.25</v>
      </c>
      <c r="IU7">
        <v>0.44</v>
      </c>
      <c r="IV7">
        <v>0.95</v>
      </c>
    </row>
    <row r="8" spans="1:256" ht="15">
      <c r="A8">
        <v>270430</v>
      </c>
      <c r="B8" t="s">
        <v>262</v>
      </c>
      <c r="C8" t="s">
        <v>263</v>
      </c>
      <c r="D8" s="27">
        <f t="shared" si="0"/>
        <v>0.44799999999999995</v>
      </c>
      <c r="E8" s="27">
        <f t="shared" si="1"/>
        <v>0</v>
      </c>
      <c r="F8" s="28">
        <f t="shared" si="2"/>
        <v>14.712815824527535</v>
      </c>
      <c r="G8" s="31">
        <f t="shared" si="3"/>
        <v>4.5605844081894115E-4</v>
      </c>
      <c r="H8" s="29">
        <f t="shared" si="4"/>
        <v>0.5885479810215396</v>
      </c>
      <c r="I8" s="30">
        <f t="shared" si="5"/>
        <v>2.4035458745043599</v>
      </c>
      <c r="J8">
        <v>2014</v>
      </c>
      <c r="K8">
        <v>27043000</v>
      </c>
      <c r="L8" t="s">
        <v>264</v>
      </c>
      <c r="M8" t="s">
        <v>265</v>
      </c>
      <c r="N8" t="s">
        <v>227</v>
      </c>
      <c r="O8" t="s">
        <v>228</v>
      </c>
      <c r="P8" t="s">
        <v>229</v>
      </c>
      <c r="Q8">
        <v>76</v>
      </c>
      <c r="R8">
        <v>9</v>
      </c>
      <c r="S8">
        <v>1960988</v>
      </c>
      <c r="T8">
        <v>1157776</v>
      </c>
      <c r="U8">
        <v>2631815</v>
      </c>
      <c r="V8">
        <v>1233948</v>
      </c>
      <c r="W8">
        <v>40</v>
      </c>
      <c r="X8">
        <v>27</v>
      </c>
      <c r="Y8">
        <v>9</v>
      </c>
      <c r="Z8">
        <v>76</v>
      </c>
      <c r="AA8">
        <v>75</v>
      </c>
      <c r="AB8">
        <v>9</v>
      </c>
      <c r="AC8">
        <v>678</v>
      </c>
      <c r="AD8">
        <v>3</v>
      </c>
      <c r="AE8">
        <v>6</v>
      </c>
      <c r="AF8">
        <v>2</v>
      </c>
      <c r="AG8">
        <v>0</v>
      </c>
      <c r="AJ8">
        <v>0</v>
      </c>
      <c r="AK8">
        <v>0</v>
      </c>
      <c r="AL8">
        <v>34</v>
      </c>
      <c r="AM8">
        <v>25</v>
      </c>
      <c r="AN8">
        <v>1926543</v>
      </c>
      <c r="AO8">
        <v>1862962</v>
      </c>
      <c r="AP8">
        <v>393141</v>
      </c>
      <c r="AQ8">
        <v>382799</v>
      </c>
      <c r="AR8">
        <v>454246</v>
      </c>
      <c r="AS8">
        <v>441510</v>
      </c>
      <c r="AT8">
        <v>355636</v>
      </c>
      <c r="AU8">
        <v>346426</v>
      </c>
      <c r="AV8">
        <v>4971.6000000000004</v>
      </c>
      <c r="AW8">
        <v>4906.42</v>
      </c>
      <c r="AX8">
        <v>152163.22</v>
      </c>
      <c r="AY8">
        <v>96010.17</v>
      </c>
      <c r="AZ8">
        <v>45468.91</v>
      </c>
      <c r="BA8">
        <v>108098.5</v>
      </c>
      <c r="BB8">
        <v>67989.710000000006</v>
      </c>
      <c r="BC8">
        <v>45783.09</v>
      </c>
      <c r="BD8">
        <v>426682</v>
      </c>
      <c r="BE8">
        <v>414386</v>
      </c>
      <c r="BF8">
        <v>415280</v>
      </c>
      <c r="BG8">
        <v>404029</v>
      </c>
      <c r="BH8">
        <v>26829.48</v>
      </c>
      <c r="BJ8">
        <v>0</v>
      </c>
      <c r="BK8">
        <v>43679.75</v>
      </c>
      <c r="BL8">
        <v>43679.75</v>
      </c>
      <c r="BM8">
        <v>39518.35</v>
      </c>
      <c r="BN8">
        <v>492809</v>
      </c>
      <c r="BO8">
        <v>474964</v>
      </c>
      <c r="BP8">
        <v>388686</v>
      </c>
      <c r="BQ8">
        <v>377744</v>
      </c>
      <c r="BR8">
        <v>0</v>
      </c>
      <c r="BT8">
        <v>1775830</v>
      </c>
      <c r="BU8">
        <v>1720564</v>
      </c>
      <c r="BV8">
        <v>0</v>
      </c>
      <c r="BW8">
        <v>149030.92000000001</v>
      </c>
      <c r="BX8">
        <v>65269.18</v>
      </c>
      <c r="BY8">
        <v>279733.15999999997</v>
      </c>
      <c r="BZ8">
        <v>500472.82</v>
      </c>
      <c r="CA8">
        <v>0</v>
      </c>
      <c r="CB8">
        <v>317558.03999999998</v>
      </c>
      <c r="CC8">
        <v>-538297.69999999995</v>
      </c>
      <c r="CD8">
        <v>290104.96000000002</v>
      </c>
      <c r="CE8">
        <v>0</v>
      </c>
      <c r="CF8">
        <v>1236.76</v>
      </c>
      <c r="CG8">
        <v>14328.6</v>
      </c>
      <c r="CH8">
        <v>0</v>
      </c>
      <c r="CI8">
        <v>8666.58</v>
      </c>
      <c r="CJ8">
        <v>397873</v>
      </c>
      <c r="CK8">
        <v>391309</v>
      </c>
      <c r="CL8">
        <v>47344</v>
      </c>
      <c r="CM8">
        <v>46140</v>
      </c>
      <c r="CN8">
        <v>84560</v>
      </c>
      <c r="CO8">
        <v>83306</v>
      </c>
      <c r="CP8">
        <v>547.91</v>
      </c>
      <c r="CQ8">
        <v>401.63</v>
      </c>
      <c r="CR8">
        <v>12551.19</v>
      </c>
      <c r="CS8">
        <v>11602.97</v>
      </c>
      <c r="CT8" s="15">
        <f t="shared" si="6"/>
        <v>0.88598937390329613</v>
      </c>
      <c r="CU8">
        <v>13096.06</v>
      </c>
      <c r="CV8">
        <v>74086</v>
      </c>
      <c r="CW8">
        <v>72980</v>
      </c>
      <c r="CX8">
        <v>48557</v>
      </c>
      <c r="CY8">
        <v>47016</v>
      </c>
      <c r="CZ8">
        <v>0</v>
      </c>
      <c r="DA8">
        <v>86</v>
      </c>
      <c r="DB8">
        <v>86</v>
      </c>
      <c r="DC8">
        <v>0</v>
      </c>
      <c r="DE8">
        <v>397873</v>
      </c>
      <c r="DF8">
        <v>391309</v>
      </c>
      <c r="DG8">
        <v>4039.33</v>
      </c>
      <c r="DH8">
        <v>248716402.99000001</v>
      </c>
      <c r="DI8">
        <v>201351928.15000001</v>
      </c>
      <c r="DJ8">
        <v>47364474.840000004</v>
      </c>
      <c r="DK8">
        <v>28976427.219999999</v>
      </c>
      <c r="DL8">
        <v>277692830.20999998</v>
      </c>
      <c r="DM8">
        <v>271168495</v>
      </c>
      <c r="DN8">
        <v>0</v>
      </c>
      <c r="DO8">
        <v>246351408.69999999</v>
      </c>
      <c r="DP8">
        <v>246642649.84999999</v>
      </c>
      <c r="DQ8">
        <v>114704098.23</v>
      </c>
      <c r="DR8">
        <v>2523834.7999999998</v>
      </c>
      <c r="DS8">
        <v>36884391.950000003</v>
      </c>
      <c r="DT8">
        <v>85228724.060000002</v>
      </c>
      <c r="DU8">
        <v>250507412.58000001</v>
      </c>
      <c r="DV8">
        <v>81628141.510000005</v>
      </c>
      <c r="DW8">
        <v>368467956.88</v>
      </c>
      <c r="DX8">
        <v>0</v>
      </c>
      <c r="DY8">
        <v>33271308.16</v>
      </c>
      <c r="DZ8">
        <v>0</v>
      </c>
      <c r="EA8">
        <v>9299405.2100000009</v>
      </c>
      <c r="EB8">
        <v>1194132.1499999999</v>
      </c>
      <c r="EC8">
        <v>24060196.829999998</v>
      </c>
      <c r="ED8">
        <v>498125</v>
      </c>
      <c r="EE8">
        <v>0</v>
      </c>
      <c r="EF8">
        <v>1193</v>
      </c>
      <c r="EG8">
        <v>1211</v>
      </c>
      <c r="EH8">
        <v>1866958.33</v>
      </c>
      <c r="EI8">
        <v>1866962.48</v>
      </c>
      <c r="EJ8">
        <v>24558321.829999998</v>
      </c>
      <c r="EK8">
        <v>0</v>
      </c>
      <c r="EL8">
        <v>0</v>
      </c>
      <c r="EM8">
        <v>24558321.829999998</v>
      </c>
      <c r="EN8">
        <v>3546841.32</v>
      </c>
      <c r="EO8">
        <v>74769924.459999993</v>
      </c>
      <c r="EP8">
        <v>6858217.0499999998</v>
      </c>
      <c r="EQ8">
        <v>85174982.829999998</v>
      </c>
      <c r="ER8">
        <v>0</v>
      </c>
      <c r="ES8">
        <v>0</v>
      </c>
      <c r="ET8">
        <v>0</v>
      </c>
      <c r="EU8">
        <v>0</v>
      </c>
      <c r="EV8">
        <v>0</v>
      </c>
      <c r="EW8">
        <v>0</v>
      </c>
      <c r="EX8">
        <v>0</v>
      </c>
      <c r="EY8">
        <v>0</v>
      </c>
      <c r="EZ8">
        <v>0</v>
      </c>
      <c r="FA8">
        <v>0</v>
      </c>
      <c r="FB8">
        <v>0</v>
      </c>
      <c r="FC8">
        <v>0</v>
      </c>
      <c r="FD8">
        <v>0</v>
      </c>
      <c r="FE8">
        <v>0</v>
      </c>
      <c r="FF8">
        <v>0</v>
      </c>
      <c r="FG8">
        <v>0</v>
      </c>
      <c r="FH8">
        <v>0</v>
      </c>
      <c r="FI8">
        <v>0</v>
      </c>
      <c r="FJ8">
        <v>1.1499999999999999</v>
      </c>
      <c r="FK8">
        <v>442.44</v>
      </c>
      <c r="FL8">
        <v>4.54</v>
      </c>
      <c r="FM8">
        <v>3.07</v>
      </c>
      <c r="FN8" s="3">
        <f t="shared" si="7"/>
        <v>81085770</v>
      </c>
      <c r="FO8" s="3">
        <f t="shared" si="8"/>
        <v>67989710</v>
      </c>
      <c r="FP8" s="21">
        <f t="shared" si="9"/>
        <v>3819191.2098076926</v>
      </c>
      <c r="FQ8" s="21">
        <f t="shared" si="25"/>
        <v>201351928.15000001</v>
      </c>
      <c r="FR8" s="24">
        <f t="shared" si="10"/>
        <v>4.9316126429653967E-2</v>
      </c>
      <c r="FS8" s="4">
        <f t="shared" si="11"/>
        <v>13096060</v>
      </c>
      <c r="FT8" s="21">
        <f t="shared" si="12"/>
        <v>264439.67307692306</v>
      </c>
      <c r="FU8" s="24">
        <f t="shared" si="13"/>
        <v>1.4516009146571588E-2</v>
      </c>
      <c r="FV8" s="27">
        <f t="shared" si="14"/>
        <v>96.687786404036558</v>
      </c>
      <c r="FW8" s="2">
        <f t="shared" si="15"/>
        <v>31125.495879239967</v>
      </c>
      <c r="FX8" s="3">
        <f t="shared" si="26"/>
        <v>149030920</v>
      </c>
      <c r="FY8" s="24">
        <f t="shared" si="16"/>
        <v>0.297010969159892</v>
      </c>
      <c r="FZ8" s="3">
        <f t="shared" si="27"/>
        <v>4039330</v>
      </c>
      <c r="GA8" s="32">
        <f t="shared" si="17"/>
        <v>4.1793426038060306E-2</v>
      </c>
      <c r="GB8" s="34">
        <f t="shared" si="28"/>
        <v>7261182.25</v>
      </c>
      <c r="GC8" s="3">
        <f t="shared" si="18"/>
        <v>7261182.25</v>
      </c>
      <c r="GD8" s="35">
        <f t="shared" si="29"/>
        <v>3826189.3487733845</v>
      </c>
      <c r="GE8" s="35">
        <f t="shared" si="30"/>
        <v>16457.080722453444</v>
      </c>
      <c r="GF8" s="3">
        <f t="shared" si="19"/>
        <v>696178.2</v>
      </c>
      <c r="GG8" s="3">
        <f t="shared" si="20"/>
        <v>6565004.0499999998</v>
      </c>
      <c r="GH8" s="18">
        <f t="shared" si="31"/>
        <v>1181700.7289999998</v>
      </c>
      <c r="GI8" s="18">
        <f t="shared" si="32"/>
        <v>3132801.8999999994</v>
      </c>
      <c r="GJ8" s="33">
        <f t="shared" si="21"/>
        <v>0.32945043234377352</v>
      </c>
      <c r="GK8" s="3">
        <f t="shared" si="22"/>
        <v>6885198233095.0088</v>
      </c>
      <c r="GL8" s="18">
        <f t="shared" si="33"/>
        <v>30983392048927.531</v>
      </c>
      <c r="GM8" s="33">
        <f t="shared" si="23"/>
        <v>2365855.9940109872</v>
      </c>
      <c r="GN8" s="24">
        <f t="shared" si="24"/>
        <v>2365856.3652548455</v>
      </c>
      <c r="GO8">
        <v>8.2799999999999994</v>
      </c>
      <c r="GP8">
        <v>3.64</v>
      </c>
      <c r="GQ8">
        <v>54.26</v>
      </c>
      <c r="GR8">
        <v>95427.7</v>
      </c>
      <c r="GS8">
        <v>90.48</v>
      </c>
      <c r="GT8">
        <v>29.88</v>
      </c>
      <c r="GU8">
        <v>1.38</v>
      </c>
      <c r="GV8">
        <v>67.5</v>
      </c>
      <c r="GW8">
        <v>65.28</v>
      </c>
      <c r="GX8">
        <v>9.25</v>
      </c>
      <c r="GY8">
        <v>19.48</v>
      </c>
      <c r="GZ8">
        <v>92.5</v>
      </c>
      <c r="HA8">
        <v>4.5199999999999996</v>
      </c>
      <c r="HB8">
        <v>2095.12</v>
      </c>
      <c r="HC8">
        <v>253.83</v>
      </c>
      <c r="HD8">
        <v>10.210000000000001</v>
      </c>
      <c r="HE8">
        <v>9.94</v>
      </c>
      <c r="HF8">
        <v>93.15</v>
      </c>
      <c r="HG8">
        <v>90.56</v>
      </c>
      <c r="HH8">
        <v>20.29</v>
      </c>
      <c r="HI8">
        <v>28.31</v>
      </c>
      <c r="HJ8">
        <v>3.09</v>
      </c>
      <c r="HK8">
        <v>471.05</v>
      </c>
      <c r="HL8">
        <v>34.72</v>
      </c>
      <c r="HM8">
        <v>2.35</v>
      </c>
      <c r="HN8">
        <v>100.72</v>
      </c>
      <c r="HO8">
        <v>46.12</v>
      </c>
      <c r="HP8">
        <v>80.39</v>
      </c>
      <c r="HQ8">
        <v>34.25</v>
      </c>
      <c r="HR8">
        <v>0.75</v>
      </c>
      <c r="HS8">
        <v>45.79</v>
      </c>
      <c r="HT8">
        <v>79.81</v>
      </c>
      <c r="HU8">
        <v>14.72</v>
      </c>
      <c r="HV8">
        <v>1.01</v>
      </c>
      <c r="HW8">
        <v>0.75</v>
      </c>
      <c r="HX8">
        <v>72.510000000000005</v>
      </c>
      <c r="HY8">
        <v>17.059999999999999</v>
      </c>
      <c r="HZ8">
        <v>10.43</v>
      </c>
      <c r="IA8">
        <v>93.89</v>
      </c>
      <c r="IB8">
        <v>70.58</v>
      </c>
      <c r="IC8">
        <v>3.1</v>
      </c>
      <c r="ID8">
        <v>18.010000000000002</v>
      </c>
      <c r="IE8">
        <v>34.369999999999997</v>
      </c>
      <c r="IF8">
        <v>2.77</v>
      </c>
      <c r="IG8" s="2">
        <v>44.8</v>
      </c>
      <c r="IH8">
        <v>48.67</v>
      </c>
      <c r="II8">
        <v>619.62</v>
      </c>
      <c r="IJ8">
        <v>55.2</v>
      </c>
      <c r="IK8">
        <v>11.99</v>
      </c>
      <c r="IL8">
        <v>319.37</v>
      </c>
      <c r="IM8">
        <v>73.2</v>
      </c>
      <c r="IN8">
        <v>15.12</v>
      </c>
      <c r="IO8">
        <v>0</v>
      </c>
      <c r="IP8">
        <v>0.76</v>
      </c>
      <c r="IQ8">
        <v>0.32</v>
      </c>
      <c r="IR8">
        <v>0.24</v>
      </c>
      <c r="IS8">
        <v>0.21</v>
      </c>
      <c r="IT8">
        <v>0.1</v>
      </c>
      <c r="IU8">
        <v>2.92</v>
      </c>
      <c r="IV8">
        <v>0.43</v>
      </c>
    </row>
    <row r="9" spans="1:256" ht="15">
      <c r="A9">
        <v>420540</v>
      </c>
      <c r="B9" t="s">
        <v>250</v>
      </c>
      <c r="C9" t="s">
        <v>251</v>
      </c>
      <c r="D9" s="27">
        <f t="shared" si="0"/>
        <v>0.39740000000000003</v>
      </c>
      <c r="E9" s="27">
        <f t="shared" si="1"/>
        <v>0.13417500405493785</v>
      </c>
      <c r="F9" s="28">
        <f t="shared" si="2"/>
        <v>11.669919228754642</v>
      </c>
      <c r="G9" s="31">
        <f t="shared" si="3"/>
        <v>1.9302627436352824E-4</v>
      </c>
      <c r="H9" s="29">
        <f t="shared" si="4"/>
        <v>1.1085286521311153</v>
      </c>
      <c r="I9" s="30">
        <f t="shared" si="5"/>
        <v>1.1318343291811754</v>
      </c>
      <c r="J9">
        <v>2014</v>
      </c>
      <c r="K9">
        <v>42054000</v>
      </c>
      <c r="L9" t="s">
        <v>252</v>
      </c>
      <c r="M9" t="s">
        <v>253</v>
      </c>
      <c r="N9" t="s">
        <v>227</v>
      </c>
      <c r="O9" t="s">
        <v>228</v>
      </c>
      <c r="P9" t="s">
        <v>229</v>
      </c>
      <c r="Q9">
        <v>199</v>
      </c>
      <c r="R9">
        <v>16</v>
      </c>
      <c r="S9">
        <v>2659809</v>
      </c>
      <c r="T9">
        <v>1215106</v>
      </c>
      <c r="U9">
        <v>3342719</v>
      </c>
      <c r="V9">
        <v>1302687</v>
      </c>
      <c r="W9">
        <v>178</v>
      </c>
      <c r="X9">
        <v>15</v>
      </c>
      <c r="Y9">
        <v>5</v>
      </c>
      <c r="Z9">
        <v>199</v>
      </c>
      <c r="AA9">
        <v>197</v>
      </c>
      <c r="AB9">
        <v>16</v>
      </c>
      <c r="AC9">
        <v>125</v>
      </c>
      <c r="AD9">
        <v>7</v>
      </c>
      <c r="AE9">
        <v>15</v>
      </c>
      <c r="AF9">
        <v>1</v>
      </c>
      <c r="AG9">
        <v>0</v>
      </c>
      <c r="AJ9">
        <v>0</v>
      </c>
      <c r="AK9">
        <v>0</v>
      </c>
      <c r="AL9">
        <v>166</v>
      </c>
      <c r="AM9">
        <v>14</v>
      </c>
      <c r="AN9">
        <v>2702417</v>
      </c>
      <c r="AO9">
        <v>2601298</v>
      </c>
      <c r="AP9">
        <v>750656</v>
      </c>
      <c r="AQ9">
        <v>725644</v>
      </c>
      <c r="AR9">
        <v>1059274</v>
      </c>
      <c r="AS9">
        <v>1004562</v>
      </c>
      <c r="AT9">
        <v>747327</v>
      </c>
      <c r="AU9">
        <v>721988</v>
      </c>
      <c r="AV9">
        <v>13166.95</v>
      </c>
      <c r="AW9">
        <v>12841.82</v>
      </c>
      <c r="AX9">
        <v>251928.45</v>
      </c>
      <c r="AY9">
        <v>227800.18</v>
      </c>
      <c r="AZ9">
        <v>126860.1</v>
      </c>
      <c r="BA9">
        <v>148466.20000000001</v>
      </c>
      <c r="BB9">
        <v>181860.73</v>
      </c>
      <c r="BC9">
        <v>137836.21</v>
      </c>
      <c r="BD9">
        <v>945546</v>
      </c>
      <c r="BE9">
        <v>901427</v>
      </c>
      <c r="BF9">
        <v>1055303</v>
      </c>
      <c r="BG9">
        <v>1000270</v>
      </c>
      <c r="BH9">
        <v>24127.63</v>
      </c>
      <c r="BJ9">
        <v>0</v>
      </c>
      <c r="BK9">
        <v>2505.89</v>
      </c>
      <c r="BL9">
        <v>16795.509999999998</v>
      </c>
      <c r="BM9">
        <v>106658.85</v>
      </c>
      <c r="BN9">
        <v>828912</v>
      </c>
      <c r="BO9">
        <v>802912</v>
      </c>
      <c r="BP9">
        <v>941828</v>
      </c>
      <c r="BQ9">
        <v>897395</v>
      </c>
      <c r="BR9">
        <v>8067.22</v>
      </c>
      <c r="BT9">
        <v>2548969</v>
      </c>
      <c r="BU9">
        <v>2487054</v>
      </c>
      <c r="BV9">
        <v>251927.81</v>
      </c>
      <c r="BW9">
        <v>165513.43</v>
      </c>
      <c r="BX9">
        <v>362634.51</v>
      </c>
      <c r="BY9">
        <v>2408155.9</v>
      </c>
      <c r="BZ9">
        <v>922918.41</v>
      </c>
      <c r="CA9">
        <v>74733.81</v>
      </c>
      <c r="CB9">
        <v>206861.89</v>
      </c>
      <c r="CC9">
        <v>1278375.6000000001</v>
      </c>
      <c r="CD9">
        <v>826278.21</v>
      </c>
      <c r="CE9">
        <v>18677.669999999998</v>
      </c>
      <c r="CF9">
        <v>198814.7</v>
      </c>
      <c r="CG9">
        <v>154743.49</v>
      </c>
      <c r="CH9">
        <v>136470.71</v>
      </c>
      <c r="CI9">
        <v>260551.61</v>
      </c>
      <c r="CJ9">
        <v>487361</v>
      </c>
      <c r="CK9">
        <v>460820</v>
      </c>
      <c r="CL9">
        <v>71020</v>
      </c>
      <c r="CM9">
        <v>67491</v>
      </c>
      <c r="CN9">
        <v>204769</v>
      </c>
      <c r="CO9">
        <v>193753</v>
      </c>
      <c r="CP9">
        <v>1218.3599999999999</v>
      </c>
      <c r="CQ9">
        <v>1228.28</v>
      </c>
      <c r="CR9">
        <v>26149.72</v>
      </c>
      <c r="CS9">
        <v>25995.73</v>
      </c>
      <c r="CT9" s="15">
        <f t="shared" si="6"/>
        <v>0.8031985530164133</v>
      </c>
      <c r="CU9">
        <v>32365.26</v>
      </c>
      <c r="CV9">
        <v>170916</v>
      </c>
      <c r="CW9">
        <v>161635</v>
      </c>
      <c r="CX9">
        <v>71020</v>
      </c>
      <c r="CY9">
        <v>67491</v>
      </c>
      <c r="CZ9">
        <v>0</v>
      </c>
      <c r="DA9">
        <v>0</v>
      </c>
      <c r="DB9">
        <v>0</v>
      </c>
      <c r="DC9">
        <v>0</v>
      </c>
      <c r="DE9">
        <v>487361</v>
      </c>
      <c r="DF9">
        <v>460820</v>
      </c>
      <c r="DG9">
        <v>16878.05</v>
      </c>
      <c r="DH9">
        <v>801951593.82000005</v>
      </c>
      <c r="DI9">
        <v>657783943.62</v>
      </c>
      <c r="DJ9">
        <v>134288755.19999999</v>
      </c>
      <c r="DK9">
        <v>18223923.690000001</v>
      </c>
      <c r="DL9">
        <v>820175517.50999999</v>
      </c>
      <c r="DM9">
        <v>790088036.50999999</v>
      </c>
      <c r="DN9">
        <v>9878895</v>
      </c>
      <c r="DO9">
        <v>142533691.56999999</v>
      </c>
      <c r="DP9">
        <v>127246642.14</v>
      </c>
      <c r="DQ9">
        <v>268783090.69</v>
      </c>
      <c r="DR9">
        <v>17378667.329999998</v>
      </c>
      <c r="DS9">
        <v>56292053.539999999</v>
      </c>
      <c r="DT9">
        <v>98122252.760000005</v>
      </c>
      <c r="DU9">
        <v>639048591.85000002</v>
      </c>
      <c r="DV9">
        <v>79575694.890000001</v>
      </c>
      <c r="DW9">
        <v>855294096.38</v>
      </c>
      <c r="DX9">
        <v>0</v>
      </c>
      <c r="DY9">
        <v>80713292.099999994</v>
      </c>
      <c r="DZ9">
        <v>2843040.53</v>
      </c>
      <c r="EA9">
        <v>83528827.090000004</v>
      </c>
      <c r="EB9">
        <v>55956517.539999999</v>
      </c>
      <c r="EC9">
        <v>55281724.630000003</v>
      </c>
      <c r="ED9">
        <v>101237877.62</v>
      </c>
      <c r="EE9">
        <v>25045443.940000001</v>
      </c>
      <c r="EF9">
        <v>2500</v>
      </c>
      <c r="EG9">
        <v>2283</v>
      </c>
      <c r="EH9">
        <v>112100659.91</v>
      </c>
      <c r="EI9">
        <v>0</v>
      </c>
      <c r="EJ9">
        <v>112537548.29000001</v>
      </c>
      <c r="EK9">
        <v>68996380.359999999</v>
      </c>
      <c r="EL9">
        <v>31117.54</v>
      </c>
      <c r="EM9">
        <v>181565046.19</v>
      </c>
      <c r="EN9">
        <v>175859836.41999999</v>
      </c>
      <c r="EO9">
        <v>79524335.379999995</v>
      </c>
      <c r="EP9">
        <v>51359.51</v>
      </c>
      <c r="EQ9">
        <v>255435531.31</v>
      </c>
      <c r="ER9">
        <v>0</v>
      </c>
      <c r="ES9">
        <v>0</v>
      </c>
      <c r="ET9">
        <v>0</v>
      </c>
      <c r="EU9">
        <v>327880.62</v>
      </c>
      <c r="EV9">
        <v>1358769.21</v>
      </c>
      <c r="EW9">
        <v>0</v>
      </c>
      <c r="EX9">
        <v>751796.11</v>
      </c>
      <c r="EY9">
        <v>0</v>
      </c>
      <c r="EZ9">
        <v>934853.72</v>
      </c>
      <c r="FA9">
        <v>1686649.83</v>
      </c>
      <c r="FB9">
        <v>0</v>
      </c>
      <c r="FC9">
        <v>0</v>
      </c>
      <c r="FD9">
        <v>0</v>
      </c>
      <c r="FE9">
        <v>0</v>
      </c>
      <c r="FF9">
        <v>0</v>
      </c>
      <c r="FG9">
        <v>0</v>
      </c>
      <c r="FH9">
        <v>0</v>
      </c>
      <c r="FI9">
        <v>0</v>
      </c>
      <c r="FJ9">
        <v>1.4</v>
      </c>
      <c r="FK9">
        <v>514.80999999999995</v>
      </c>
      <c r="FL9">
        <v>3.99</v>
      </c>
      <c r="FM9">
        <v>3.74</v>
      </c>
      <c r="FN9" s="3">
        <f t="shared" si="7"/>
        <v>214225990.00000003</v>
      </c>
      <c r="FO9" s="3">
        <f t="shared" si="8"/>
        <v>181860730</v>
      </c>
      <c r="FP9" s="21">
        <f t="shared" si="9"/>
        <v>10215676.775576923</v>
      </c>
      <c r="FQ9" s="21">
        <f t="shared" si="25"/>
        <v>667662838.62</v>
      </c>
      <c r="FR9" s="24">
        <f t="shared" si="10"/>
        <v>3.9781695311062598E-2</v>
      </c>
      <c r="FS9" s="4">
        <f t="shared" si="11"/>
        <v>32365260</v>
      </c>
      <c r="FT9" s="21">
        <f t="shared" si="12"/>
        <v>653529.2884615385</v>
      </c>
      <c r="FU9" s="24">
        <f t="shared" si="13"/>
        <v>1.2653152882900505E-2</v>
      </c>
      <c r="FV9" s="27">
        <f t="shared" si="14"/>
        <v>184.37146278404322</v>
      </c>
      <c r="FW9" s="2">
        <f t="shared" si="15"/>
        <v>81123.057617798841</v>
      </c>
      <c r="FX9" s="3">
        <f t="shared" si="26"/>
        <v>165513430</v>
      </c>
      <c r="FY9" s="24">
        <f t="shared" si="16"/>
        <v>0.12332002497185622</v>
      </c>
      <c r="FZ9" s="3">
        <f t="shared" si="27"/>
        <v>16878050</v>
      </c>
      <c r="GA9" s="32">
        <f t="shared" si="17"/>
        <v>7.0661436830725302E-2</v>
      </c>
      <c r="GB9" s="34">
        <f t="shared" si="28"/>
        <v>8894338.25</v>
      </c>
      <c r="GC9" s="3">
        <f t="shared" si="18"/>
        <v>8894338.25</v>
      </c>
      <c r="GD9" s="35">
        <f t="shared" si="29"/>
        <v>5039918.0157620544</v>
      </c>
      <c r="GE9" s="35">
        <f t="shared" si="30"/>
        <v>1571.3045651550262</v>
      </c>
      <c r="GF9" s="3">
        <f t="shared" si="19"/>
        <v>1559743.8</v>
      </c>
      <c r="GG9" s="3">
        <f t="shared" si="20"/>
        <v>7334594.4500000002</v>
      </c>
      <c r="GH9" s="18">
        <f t="shared" si="31"/>
        <v>1320227.0009999999</v>
      </c>
      <c r="GI9" s="18">
        <f t="shared" si="32"/>
        <v>7018847.1000000006</v>
      </c>
      <c r="GJ9" s="33">
        <f t="shared" si="21"/>
        <v>0.25765509379501356</v>
      </c>
      <c r="GK9" s="3">
        <f t="shared" si="22"/>
        <v>1369639147117.5142</v>
      </c>
      <c r="GL9" s="18">
        <f t="shared" si="33"/>
        <v>6163376162028.8135</v>
      </c>
      <c r="GM9" s="33">
        <f t="shared" si="23"/>
        <v>190431.84457745167</v>
      </c>
      <c r="GN9" s="24">
        <f t="shared" si="24"/>
        <v>190432.17289398229</v>
      </c>
      <c r="GO9">
        <v>3.98</v>
      </c>
      <c r="GP9">
        <v>4.1500000000000004</v>
      </c>
      <c r="GQ9">
        <v>42.9</v>
      </c>
      <c r="GR9">
        <v>112391.01</v>
      </c>
      <c r="GS9">
        <v>99.53</v>
      </c>
      <c r="GT9">
        <v>55.26</v>
      </c>
      <c r="GU9">
        <v>50.93</v>
      </c>
      <c r="GV9">
        <v>93.76</v>
      </c>
      <c r="GW9">
        <v>26.18</v>
      </c>
      <c r="GX9">
        <v>10.29</v>
      </c>
      <c r="GY9">
        <v>19.86</v>
      </c>
      <c r="GZ9">
        <v>99.41</v>
      </c>
      <c r="HA9">
        <v>13.33</v>
      </c>
      <c r="HB9">
        <v>3264.54</v>
      </c>
      <c r="HC9">
        <v>377.14</v>
      </c>
      <c r="HD9">
        <v>15.94</v>
      </c>
      <c r="HE9">
        <v>17.66</v>
      </c>
      <c r="HF9">
        <v>136.03</v>
      </c>
      <c r="HG9">
        <v>95.83</v>
      </c>
      <c r="HH9">
        <v>18.32</v>
      </c>
      <c r="HI9">
        <v>19.190000000000001</v>
      </c>
      <c r="HJ9">
        <v>2.98</v>
      </c>
      <c r="HK9">
        <v>519.04999999999995</v>
      </c>
      <c r="HL9">
        <v>73.819999999999993</v>
      </c>
      <c r="HM9">
        <v>3.67</v>
      </c>
      <c r="HN9">
        <v>79.69</v>
      </c>
      <c r="HO9">
        <v>33.520000000000003</v>
      </c>
      <c r="HP9">
        <v>45.75</v>
      </c>
      <c r="HQ9">
        <v>31.85</v>
      </c>
      <c r="HR9">
        <v>13.98</v>
      </c>
      <c r="HS9">
        <v>42.06</v>
      </c>
      <c r="HT9">
        <v>57.41</v>
      </c>
      <c r="HU9">
        <v>8.81</v>
      </c>
      <c r="HV9">
        <v>2.72</v>
      </c>
      <c r="HW9">
        <v>17.54</v>
      </c>
      <c r="HX9">
        <v>81.400000000000006</v>
      </c>
      <c r="HY9">
        <v>16.37</v>
      </c>
      <c r="HZ9">
        <v>2.2200000000000002</v>
      </c>
      <c r="IA9">
        <v>89.49</v>
      </c>
      <c r="IB9">
        <v>96.35</v>
      </c>
      <c r="IC9">
        <v>3.24</v>
      </c>
      <c r="ID9">
        <v>19.739999999999998</v>
      </c>
      <c r="IE9">
        <v>40.11</v>
      </c>
      <c r="IF9">
        <v>2.96</v>
      </c>
      <c r="IG9" s="2">
        <v>39.74</v>
      </c>
      <c r="IH9">
        <v>20.63</v>
      </c>
      <c r="II9">
        <v>363.37</v>
      </c>
      <c r="IJ9">
        <v>60.26</v>
      </c>
      <c r="IK9">
        <v>10.63</v>
      </c>
      <c r="IL9">
        <v>62.56</v>
      </c>
      <c r="IM9">
        <v>80.84</v>
      </c>
      <c r="IN9">
        <v>14.58</v>
      </c>
      <c r="IO9">
        <v>99.01</v>
      </c>
      <c r="IP9">
        <v>0.65</v>
      </c>
      <c r="IQ9">
        <v>0.65</v>
      </c>
      <c r="IR9">
        <v>0.31</v>
      </c>
      <c r="IS9">
        <v>1.75</v>
      </c>
      <c r="IT9">
        <v>0.46</v>
      </c>
      <c r="IU9">
        <v>0.48</v>
      </c>
      <c r="IV9">
        <v>24.06</v>
      </c>
    </row>
    <row r="10" spans="1:256" ht="15">
      <c r="A10">
        <v>330455</v>
      </c>
      <c r="B10" t="s">
        <v>230</v>
      </c>
      <c r="C10" t="s">
        <v>231</v>
      </c>
      <c r="D10" s="27">
        <f t="shared" si="0"/>
        <v>0.30549999999999999</v>
      </c>
      <c r="E10" s="27">
        <f t="shared" si="1"/>
        <v>0.14583438650061123</v>
      </c>
      <c r="F10" s="28">
        <f t="shared" si="2"/>
        <v>5.4332248022791338</v>
      </c>
      <c r="G10" s="31">
        <f t="shared" si="3"/>
        <v>4.0452795564928007E-5</v>
      </c>
      <c r="H10" s="29">
        <f t="shared" si="4"/>
        <v>1.2265815326949749</v>
      </c>
      <c r="I10" s="30">
        <f t="shared" si="5"/>
        <v>0.56559571812240084</v>
      </c>
      <c r="J10">
        <v>2014</v>
      </c>
      <c r="K10">
        <v>33045500</v>
      </c>
      <c r="L10" t="s">
        <v>232</v>
      </c>
      <c r="M10" t="s">
        <v>233</v>
      </c>
      <c r="N10" t="s">
        <v>227</v>
      </c>
      <c r="O10" t="s">
        <v>228</v>
      </c>
      <c r="P10" t="s">
        <v>229</v>
      </c>
      <c r="Q10">
        <v>63</v>
      </c>
      <c r="R10">
        <v>29</v>
      </c>
      <c r="S10">
        <v>13112006</v>
      </c>
      <c r="T10">
        <v>11883488</v>
      </c>
      <c r="U10">
        <v>13443626</v>
      </c>
      <c r="V10">
        <v>12034562</v>
      </c>
      <c r="W10">
        <v>55</v>
      </c>
      <c r="X10">
        <v>8</v>
      </c>
      <c r="Y10">
        <v>0</v>
      </c>
      <c r="Z10">
        <v>63</v>
      </c>
      <c r="AA10">
        <v>61</v>
      </c>
      <c r="AB10">
        <v>29</v>
      </c>
      <c r="AC10">
        <v>74</v>
      </c>
      <c r="AD10">
        <v>0</v>
      </c>
      <c r="AE10">
        <v>22</v>
      </c>
      <c r="AF10">
        <v>3</v>
      </c>
      <c r="AG10">
        <v>4</v>
      </c>
      <c r="AJ10">
        <v>1</v>
      </c>
      <c r="AK10">
        <v>0</v>
      </c>
      <c r="AL10">
        <v>5</v>
      </c>
      <c r="AM10">
        <v>1</v>
      </c>
      <c r="AN10">
        <v>11617039</v>
      </c>
      <c r="AO10">
        <v>11549965</v>
      </c>
      <c r="AP10">
        <v>2247329</v>
      </c>
      <c r="AQ10">
        <v>2258002</v>
      </c>
      <c r="AR10">
        <v>4152586</v>
      </c>
      <c r="AS10">
        <v>4126259</v>
      </c>
      <c r="AT10">
        <v>1367191</v>
      </c>
      <c r="AU10">
        <v>1346178</v>
      </c>
      <c r="AV10">
        <v>21895.599999999999</v>
      </c>
      <c r="AW10">
        <v>21839.49</v>
      </c>
      <c r="AX10">
        <v>1856211</v>
      </c>
      <c r="AY10">
        <v>1587421</v>
      </c>
      <c r="AZ10">
        <v>603850.84</v>
      </c>
      <c r="BA10">
        <v>1230313.3500000001</v>
      </c>
      <c r="BB10">
        <v>863109.98</v>
      </c>
      <c r="BC10">
        <v>1652847</v>
      </c>
      <c r="BD10">
        <v>3633669</v>
      </c>
      <c r="BE10">
        <v>3611816</v>
      </c>
      <c r="BF10">
        <v>2708605</v>
      </c>
      <c r="BG10">
        <v>2655409</v>
      </c>
      <c r="BH10">
        <v>268343</v>
      </c>
      <c r="BJ10">
        <v>24833</v>
      </c>
      <c r="BK10">
        <v>0</v>
      </c>
      <c r="BL10">
        <v>82266.86</v>
      </c>
      <c r="BM10">
        <v>498495.12</v>
      </c>
      <c r="BN10">
        <v>2425705</v>
      </c>
      <c r="BO10">
        <v>2406048</v>
      </c>
      <c r="BP10">
        <v>2454145</v>
      </c>
      <c r="BQ10">
        <v>2343663</v>
      </c>
      <c r="BR10">
        <v>84580</v>
      </c>
      <c r="BT10">
        <v>11376941</v>
      </c>
      <c r="BU10">
        <v>11315675</v>
      </c>
      <c r="BV10">
        <v>1599290</v>
      </c>
      <c r="BW10">
        <v>1021526.41</v>
      </c>
      <c r="BX10">
        <v>1104792.8899999999</v>
      </c>
      <c r="BY10">
        <v>13060105.529999999</v>
      </c>
      <c r="BZ10">
        <v>6603656.5499999998</v>
      </c>
      <c r="CA10">
        <v>460316.2</v>
      </c>
      <c r="CB10">
        <v>1063597.29</v>
      </c>
      <c r="CC10">
        <v>5392851.6900000004</v>
      </c>
      <c r="CD10">
        <v>4539090.4800000004</v>
      </c>
      <c r="CE10">
        <v>0</v>
      </c>
      <c r="CF10">
        <v>880778.06</v>
      </c>
      <c r="CG10">
        <v>1653443.36</v>
      </c>
      <c r="CH10">
        <v>737426.51</v>
      </c>
      <c r="CI10">
        <v>1157888.3700000001</v>
      </c>
      <c r="CJ10">
        <v>6535858</v>
      </c>
      <c r="CK10">
        <v>6504388</v>
      </c>
      <c r="CL10">
        <v>1016935</v>
      </c>
      <c r="CM10">
        <v>1011574</v>
      </c>
      <c r="CN10">
        <v>2060311</v>
      </c>
      <c r="CO10">
        <v>2049915</v>
      </c>
      <c r="CP10">
        <v>8758</v>
      </c>
      <c r="CQ10">
        <v>8735</v>
      </c>
      <c r="CR10">
        <v>557206</v>
      </c>
      <c r="CS10">
        <v>353098</v>
      </c>
      <c r="CT10" s="15">
        <f t="shared" si="6"/>
        <v>1.0062581575482614</v>
      </c>
      <c r="CU10">
        <v>350902</v>
      </c>
      <c r="CV10">
        <v>1901409</v>
      </c>
      <c r="CW10">
        <v>1890938</v>
      </c>
      <c r="CX10">
        <v>1133958</v>
      </c>
      <c r="CY10">
        <v>1128004</v>
      </c>
      <c r="CZ10">
        <v>0</v>
      </c>
      <c r="DA10">
        <v>0</v>
      </c>
      <c r="DB10">
        <v>0</v>
      </c>
      <c r="DC10">
        <v>0</v>
      </c>
      <c r="DE10">
        <v>6535858</v>
      </c>
      <c r="DF10">
        <v>6504388</v>
      </c>
      <c r="DG10">
        <v>53937.52</v>
      </c>
      <c r="DH10">
        <v>4537403930.7600002</v>
      </c>
      <c r="DI10">
        <v>2946657052.4699998</v>
      </c>
      <c r="DJ10">
        <v>1526648856.8099999</v>
      </c>
      <c r="DK10">
        <v>1686551.07</v>
      </c>
      <c r="DL10">
        <v>4539090481.8299999</v>
      </c>
      <c r="DM10">
        <v>3386316011.9200001</v>
      </c>
      <c r="DN10">
        <v>64098021.479999997</v>
      </c>
      <c r="DO10">
        <v>964550271.33000004</v>
      </c>
      <c r="DP10">
        <v>903281647.52999997</v>
      </c>
      <c r="DQ10">
        <v>842219916.17999995</v>
      </c>
      <c r="DR10">
        <v>54379366.219999999</v>
      </c>
      <c r="DS10">
        <v>201041476.06999999</v>
      </c>
      <c r="DT10">
        <v>345946643.72000003</v>
      </c>
      <c r="DU10">
        <v>1544496347.5599999</v>
      </c>
      <c r="DV10">
        <v>183354473.19999999</v>
      </c>
      <c r="DW10">
        <v>3240044981.3899999</v>
      </c>
      <c r="DX10">
        <v>0</v>
      </c>
      <c r="DY10">
        <v>1163458177.6700001</v>
      </c>
      <c r="DZ10">
        <v>318267.90999999997</v>
      </c>
      <c r="EA10">
        <v>3312485.16</v>
      </c>
      <c r="EB10">
        <v>331929946.47000003</v>
      </c>
      <c r="EC10">
        <v>97945140.25</v>
      </c>
      <c r="ED10">
        <v>326903151.92000002</v>
      </c>
      <c r="EE10">
        <v>4845339.5999999996</v>
      </c>
      <c r="EF10">
        <v>6596</v>
      </c>
      <c r="EG10">
        <v>6712</v>
      </c>
      <c r="EH10">
        <v>97278192.299999997</v>
      </c>
      <c r="EI10">
        <v>16806036.489999998</v>
      </c>
      <c r="EJ10">
        <v>37961390.340000004</v>
      </c>
      <c r="EK10">
        <v>0</v>
      </c>
      <c r="EL10">
        <v>391732241.43000001</v>
      </c>
      <c r="EM10">
        <v>429693631.76999998</v>
      </c>
      <c r="EN10">
        <v>293998666.31</v>
      </c>
      <c r="EO10">
        <v>182289623.44999999</v>
      </c>
      <c r="EP10">
        <v>1064849.75</v>
      </c>
      <c r="EQ10">
        <v>477353139.50999999</v>
      </c>
      <c r="ER10">
        <v>0</v>
      </c>
      <c r="ES10">
        <v>0</v>
      </c>
      <c r="FB10">
        <v>0</v>
      </c>
      <c r="FC10">
        <v>181241400.75</v>
      </c>
      <c r="FD10">
        <v>18525681.010000002</v>
      </c>
      <c r="FE10">
        <v>9120166.7799999993</v>
      </c>
      <c r="FF10">
        <v>17233774.390000001</v>
      </c>
      <c r="FG10">
        <v>148354890.33000001</v>
      </c>
      <c r="FH10">
        <v>43298583.82</v>
      </c>
      <c r="FI10">
        <v>208887248.53999999</v>
      </c>
      <c r="FJ10">
        <v>1.84</v>
      </c>
      <c r="FK10">
        <v>930.95</v>
      </c>
      <c r="FL10">
        <v>2.67</v>
      </c>
      <c r="FM10">
        <v>3.74</v>
      </c>
      <c r="FN10" s="3">
        <f t="shared" si="7"/>
        <v>1214011980</v>
      </c>
      <c r="FO10" s="3">
        <f t="shared" si="8"/>
        <v>863109980</v>
      </c>
      <c r="FP10" s="21">
        <f t="shared" si="9"/>
        <v>48483543.299615383</v>
      </c>
      <c r="FQ10" s="21">
        <f t="shared" si="25"/>
        <v>3010755073.9499998</v>
      </c>
      <c r="FR10" s="24">
        <f t="shared" si="10"/>
        <v>4.1868969571682083E-2</v>
      </c>
      <c r="FS10" s="4">
        <f t="shared" si="11"/>
        <v>350902000</v>
      </c>
      <c r="FT10" s="21">
        <f t="shared" si="12"/>
        <v>7085521.153846154</v>
      </c>
      <c r="FU10" s="24">
        <f t="shared" si="13"/>
        <v>1.2067185533741089E-2</v>
      </c>
      <c r="FV10" s="27">
        <f t="shared" si="14"/>
        <v>203.55314953425986</v>
      </c>
      <c r="FW10" s="2">
        <f t="shared" si="15"/>
        <v>44793.105105931485</v>
      </c>
      <c r="FX10" s="3">
        <f t="shared" si="26"/>
        <v>1021526410</v>
      </c>
      <c r="FY10" s="24">
        <f t="shared" si="16"/>
        <v>0.16036986219878954</v>
      </c>
      <c r="FZ10" s="3">
        <f t="shared" si="27"/>
        <v>53937520</v>
      </c>
      <c r="GA10" s="32">
        <f t="shared" si="17"/>
        <v>2.0827849257057527E-2</v>
      </c>
      <c r="GB10" s="34">
        <f t="shared" si="28"/>
        <v>119279408.5</v>
      </c>
      <c r="GC10" s="3">
        <f t="shared" si="18"/>
        <v>119279408.5</v>
      </c>
      <c r="GD10" s="35">
        <f t="shared" si="29"/>
        <v>43084375.85389211</v>
      </c>
      <c r="GE10" s="35">
        <f t="shared" si="30"/>
        <v>1310783.5258477845</v>
      </c>
      <c r="GF10" s="3">
        <f t="shared" si="19"/>
        <v>21185880</v>
      </c>
      <c r="GG10" s="3">
        <f t="shared" si="20"/>
        <v>98093528.5</v>
      </c>
      <c r="GH10" s="18">
        <f t="shared" si="31"/>
        <v>17656835.129999999</v>
      </c>
      <c r="GI10" s="18">
        <f t="shared" si="32"/>
        <v>95336460</v>
      </c>
      <c r="GJ10" s="33">
        <f t="shared" si="21"/>
        <v>0.32200812514605215</v>
      </c>
      <c r="GK10" s="3">
        <f t="shared" si="22"/>
        <v>2.4345881510118E+16</v>
      </c>
      <c r="GL10" s="18">
        <f t="shared" si="33"/>
        <v>1.0955646679553101E+17</v>
      </c>
      <c r="GM10" s="33">
        <f t="shared" si="23"/>
        <v>312213856.84758425</v>
      </c>
      <c r="GN10" s="24">
        <f t="shared" si="24"/>
        <v>312213857.19042021</v>
      </c>
      <c r="GO10">
        <v>3.9</v>
      </c>
      <c r="GP10">
        <v>4.3499999999999996</v>
      </c>
      <c r="GQ10">
        <v>36.67</v>
      </c>
      <c r="GR10">
        <v>126573.48</v>
      </c>
      <c r="GS10">
        <v>60.23</v>
      </c>
      <c r="GT10">
        <v>35.74</v>
      </c>
      <c r="GU10">
        <v>88.54</v>
      </c>
      <c r="GV10">
        <v>140.04</v>
      </c>
      <c r="GW10">
        <v>51.28</v>
      </c>
      <c r="GX10">
        <v>18.760000000000002</v>
      </c>
      <c r="GY10">
        <v>48.54</v>
      </c>
      <c r="GZ10">
        <v>63.37</v>
      </c>
      <c r="HA10">
        <v>15.72</v>
      </c>
      <c r="HB10">
        <v>9387.17</v>
      </c>
      <c r="HC10">
        <v>659.89</v>
      </c>
      <c r="HD10">
        <v>9.0500000000000007</v>
      </c>
      <c r="HE10">
        <v>7.73</v>
      </c>
      <c r="HF10">
        <v>271.54000000000002</v>
      </c>
      <c r="HG10">
        <v>86.77</v>
      </c>
      <c r="HH10">
        <v>49.85</v>
      </c>
      <c r="HI10">
        <v>35.71</v>
      </c>
      <c r="HJ10">
        <v>1.27</v>
      </c>
      <c r="HK10">
        <v>249.33</v>
      </c>
      <c r="HL10">
        <v>48.72</v>
      </c>
      <c r="HM10">
        <v>25.4</v>
      </c>
      <c r="HN10">
        <v>34.04</v>
      </c>
      <c r="HO10">
        <v>18.559999999999999</v>
      </c>
      <c r="HP10">
        <v>26.19</v>
      </c>
      <c r="HQ10">
        <v>10.52</v>
      </c>
      <c r="HR10">
        <v>2.14</v>
      </c>
      <c r="HS10">
        <v>54.53</v>
      </c>
      <c r="HT10">
        <v>76.930000000000007</v>
      </c>
      <c r="HU10">
        <v>13.02</v>
      </c>
      <c r="HV10">
        <v>3.52</v>
      </c>
      <c r="HW10">
        <v>6.3</v>
      </c>
      <c r="HX10">
        <v>66.33</v>
      </c>
      <c r="HY10">
        <v>33.630000000000003</v>
      </c>
      <c r="HZ10">
        <v>0.04</v>
      </c>
      <c r="IA10">
        <v>87.52</v>
      </c>
      <c r="IB10">
        <v>52.6</v>
      </c>
      <c r="IC10">
        <v>2.95</v>
      </c>
      <c r="ID10">
        <v>30.76</v>
      </c>
      <c r="IE10">
        <v>55</v>
      </c>
      <c r="IF10">
        <v>2.04</v>
      </c>
      <c r="IG10" s="2">
        <v>30.55</v>
      </c>
      <c r="IH10">
        <v>67.819999999999993</v>
      </c>
      <c r="II10">
        <v>658.36</v>
      </c>
      <c r="IJ10">
        <v>69.45</v>
      </c>
      <c r="IK10">
        <v>23.11</v>
      </c>
      <c r="IL10">
        <v>76.5</v>
      </c>
      <c r="IM10">
        <v>86.41</v>
      </c>
      <c r="IN10">
        <v>48.62</v>
      </c>
      <c r="IO10">
        <v>86.16</v>
      </c>
      <c r="IP10">
        <v>0.55000000000000004</v>
      </c>
      <c r="IQ10">
        <v>0.1</v>
      </c>
      <c r="IR10">
        <v>0.19</v>
      </c>
      <c r="IS10">
        <v>1.04</v>
      </c>
      <c r="IT10">
        <v>0.36</v>
      </c>
      <c r="IU10">
        <v>0.59</v>
      </c>
      <c r="IV10">
        <v>19.399999999999999</v>
      </c>
    </row>
    <row r="11" spans="1:256" ht="15">
      <c r="A11">
        <v>320530</v>
      </c>
      <c r="B11" t="s">
        <v>258</v>
      </c>
      <c r="C11" t="s">
        <v>259</v>
      </c>
      <c r="D11" s="27">
        <f t="shared" si="0"/>
        <v>0.3301</v>
      </c>
      <c r="E11" s="27">
        <f t="shared" si="1"/>
        <v>0.15014125654999316</v>
      </c>
      <c r="F11" s="28">
        <f t="shared" si="2"/>
        <v>5.9252243660416823</v>
      </c>
      <c r="G11" s="31">
        <f t="shared" si="3"/>
        <v>1.588692329928695E-4</v>
      </c>
      <c r="H11" s="29">
        <f t="shared" si="4"/>
        <v>0.70657420412718364</v>
      </c>
      <c r="I11" s="30">
        <f t="shared" si="5"/>
        <v>0.89384631529255598</v>
      </c>
      <c r="J11">
        <v>2014</v>
      </c>
      <c r="K11">
        <v>32053000</v>
      </c>
      <c r="L11" t="s">
        <v>260</v>
      </c>
      <c r="M11" t="s">
        <v>261</v>
      </c>
      <c r="N11" t="s">
        <v>227</v>
      </c>
      <c r="O11" t="s">
        <v>228</v>
      </c>
      <c r="P11" t="s">
        <v>229</v>
      </c>
      <c r="Q11">
        <v>52</v>
      </c>
      <c r="R11">
        <v>26</v>
      </c>
      <c r="S11">
        <v>2369378</v>
      </c>
      <c r="T11">
        <v>2142957</v>
      </c>
      <c r="U11">
        <v>2753255</v>
      </c>
      <c r="V11">
        <v>2338013</v>
      </c>
      <c r="W11">
        <v>47</v>
      </c>
      <c r="X11">
        <v>5</v>
      </c>
      <c r="Y11">
        <v>0</v>
      </c>
      <c r="Z11">
        <v>52</v>
      </c>
      <c r="AA11">
        <v>52</v>
      </c>
      <c r="AB11">
        <v>23</v>
      </c>
      <c r="AC11">
        <v>43</v>
      </c>
      <c r="AD11">
        <v>16</v>
      </c>
      <c r="AE11">
        <v>23</v>
      </c>
      <c r="AF11">
        <v>3</v>
      </c>
      <c r="AG11">
        <v>0</v>
      </c>
      <c r="AJ11">
        <v>0</v>
      </c>
      <c r="AK11">
        <v>0</v>
      </c>
      <c r="AL11">
        <v>14</v>
      </c>
      <c r="AM11">
        <v>3</v>
      </c>
      <c r="AN11">
        <v>2138624</v>
      </c>
      <c r="AO11">
        <v>2130700</v>
      </c>
      <c r="AP11">
        <v>562138</v>
      </c>
      <c r="AQ11">
        <v>551132</v>
      </c>
      <c r="AR11">
        <v>865306</v>
      </c>
      <c r="AS11">
        <v>843194</v>
      </c>
      <c r="AT11">
        <v>533875</v>
      </c>
      <c r="AU11">
        <v>522046</v>
      </c>
      <c r="AV11">
        <v>8107.98</v>
      </c>
      <c r="AW11">
        <v>7252.35</v>
      </c>
      <c r="AX11">
        <v>252332.98</v>
      </c>
      <c r="AY11">
        <v>230125.67</v>
      </c>
      <c r="AZ11">
        <v>162280.22</v>
      </c>
      <c r="BA11">
        <v>167714.74</v>
      </c>
      <c r="BB11">
        <v>192557.72</v>
      </c>
      <c r="BC11">
        <v>244541.33</v>
      </c>
      <c r="BD11">
        <v>789985</v>
      </c>
      <c r="BE11">
        <v>787769</v>
      </c>
      <c r="BF11">
        <v>831091</v>
      </c>
      <c r="BG11">
        <v>807948</v>
      </c>
      <c r="BH11">
        <v>0</v>
      </c>
      <c r="BJ11">
        <v>0</v>
      </c>
      <c r="BK11">
        <v>0</v>
      </c>
      <c r="BL11">
        <v>0</v>
      </c>
      <c r="BM11">
        <v>115269.79</v>
      </c>
      <c r="BN11">
        <v>599807</v>
      </c>
      <c r="BO11">
        <v>551132</v>
      </c>
      <c r="BP11">
        <v>757314</v>
      </c>
      <c r="BQ11">
        <v>753395</v>
      </c>
      <c r="BR11">
        <v>1973.61</v>
      </c>
      <c r="BT11">
        <v>2135592</v>
      </c>
      <c r="BU11">
        <v>2130700</v>
      </c>
      <c r="BV11">
        <v>230125.67</v>
      </c>
      <c r="BW11">
        <v>138891.19</v>
      </c>
      <c r="BX11">
        <v>181089</v>
      </c>
      <c r="BY11">
        <v>2438718</v>
      </c>
      <c r="BZ11">
        <v>347054</v>
      </c>
      <c r="CA11">
        <v>100734</v>
      </c>
      <c r="CB11">
        <v>172129</v>
      </c>
      <c r="CC11">
        <v>1919537</v>
      </c>
      <c r="CD11">
        <v>681889</v>
      </c>
      <c r="CE11">
        <v>0</v>
      </c>
      <c r="CF11">
        <v>75577</v>
      </c>
      <c r="CG11">
        <v>135957</v>
      </c>
      <c r="CH11">
        <v>155314</v>
      </c>
      <c r="CI11">
        <v>130156</v>
      </c>
      <c r="CJ11">
        <v>914334</v>
      </c>
      <c r="CK11">
        <v>849756</v>
      </c>
      <c r="CL11">
        <v>179798</v>
      </c>
      <c r="CM11">
        <v>164463</v>
      </c>
      <c r="CN11">
        <v>373080</v>
      </c>
      <c r="CO11">
        <v>342225</v>
      </c>
      <c r="CP11">
        <v>2426.4</v>
      </c>
      <c r="CQ11">
        <v>2188.2399999999998</v>
      </c>
      <c r="CR11">
        <v>55457.53</v>
      </c>
      <c r="CS11">
        <v>51428.41</v>
      </c>
      <c r="CT11" s="15">
        <f t="shared" si="6"/>
        <v>0.78526751072427936</v>
      </c>
      <c r="CU11">
        <v>65491.58</v>
      </c>
      <c r="CV11">
        <v>337797</v>
      </c>
      <c r="CW11">
        <v>315575</v>
      </c>
      <c r="CX11">
        <v>244814</v>
      </c>
      <c r="CY11">
        <v>236262</v>
      </c>
      <c r="CZ11">
        <v>0</v>
      </c>
      <c r="DA11">
        <v>0</v>
      </c>
      <c r="DB11">
        <v>0</v>
      </c>
      <c r="DC11">
        <v>0</v>
      </c>
      <c r="DE11">
        <v>914334</v>
      </c>
      <c r="DF11">
        <v>845353</v>
      </c>
      <c r="DG11">
        <v>25626.27</v>
      </c>
      <c r="DH11">
        <v>676897334.02999997</v>
      </c>
      <c r="DI11">
        <v>526886654.42000002</v>
      </c>
      <c r="DJ11">
        <v>150010679.61000001</v>
      </c>
      <c r="DK11">
        <v>4991544.0199999996</v>
      </c>
      <c r="DL11">
        <v>681888878.04999995</v>
      </c>
      <c r="DM11">
        <v>623434956.77999997</v>
      </c>
      <c r="DN11">
        <v>0</v>
      </c>
      <c r="DO11">
        <v>127440185.16</v>
      </c>
      <c r="DP11">
        <v>101266674.65000001</v>
      </c>
      <c r="DQ11">
        <v>162975873.53999999</v>
      </c>
      <c r="DR11">
        <v>6743694.8300000001</v>
      </c>
      <c r="DS11">
        <v>51905964.810000002</v>
      </c>
      <c r="DT11">
        <v>144187129.58000001</v>
      </c>
      <c r="DU11">
        <v>463255008.86000001</v>
      </c>
      <c r="DV11">
        <v>8907493.2899999991</v>
      </c>
      <c r="DW11">
        <v>548192064.83000004</v>
      </c>
      <c r="DX11">
        <v>0</v>
      </c>
      <c r="DY11">
        <v>54579204.170000002</v>
      </c>
      <c r="DZ11">
        <v>0</v>
      </c>
      <c r="EA11">
        <v>66942241.560000002</v>
      </c>
      <c r="EB11">
        <v>21450358.510000002</v>
      </c>
      <c r="EC11">
        <v>92565701.310000002</v>
      </c>
      <c r="ED11">
        <v>85370684.540000007</v>
      </c>
      <c r="EE11">
        <v>30500245.489999998</v>
      </c>
      <c r="EF11">
        <v>1529</v>
      </c>
      <c r="EG11">
        <v>1509</v>
      </c>
      <c r="EH11">
        <v>30500104.539999999</v>
      </c>
      <c r="EI11">
        <v>0</v>
      </c>
      <c r="EJ11">
        <v>158908011.34999999</v>
      </c>
      <c r="EK11">
        <v>13425637.630000001</v>
      </c>
      <c r="EL11">
        <v>36102982.359999999</v>
      </c>
      <c r="EM11">
        <v>208436631.34</v>
      </c>
      <c r="EN11">
        <v>53393764.43</v>
      </c>
      <c r="EO11">
        <v>8907493.2899999991</v>
      </c>
      <c r="EP11">
        <v>0</v>
      </c>
      <c r="EQ11">
        <v>62301257.719999999</v>
      </c>
      <c r="ER11">
        <v>0</v>
      </c>
      <c r="ES11">
        <v>0</v>
      </c>
      <c r="ET11">
        <v>0</v>
      </c>
      <c r="EU11">
        <v>0</v>
      </c>
      <c r="EV11">
        <v>0</v>
      </c>
      <c r="EW11">
        <v>0</v>
      </c>
      <c r="EX11">
        <v>0</v>
      </c>
      <c r="EY11">
        <v>0</v>
      </c>
      <c r="EZ11">
        <v>0</v>
      </c>
      <c r="FA11">
        <v>0</v>
      </c>
      <c r="FB11">
        <v>0</v>
      </c>
      <c r="FC11">
        <v>10684129.189999999</v>
      </c>
      <c r="FD11">
        <v>19621197.170000002</v>
      </c>
      <c r="FE11">
        <v>2425569.08</v>
      </c>
      <c r="FF11">
        <v>20484189.149999999</v>
      </c>
      <c r="FG11">
        <v>12246706.289999999</v>
      </c>
      <c r="FH11">
        <v>0</v>
      </c>
      <c r="FI11">
        <v>32730895.440000001</v>
      </c>
      <c r="FJ11">
        <v>1.53</v>
      </c>
      <c r="FK11">
        <v>797.83</v>
      </c>
      <c r="FL11">
        <v>2.12</v>
      </c>
      <c r="FM11">
        <v>2.62</v>
      </c>
      <c r="FN11" s="3">
        <f t="shared" si="7"/>
        <v>258049300</v>
      </c>
      <c r="FO11" s="3">
        <f t="shared" si="8"/>
        <v>192557720</v>
      </c>
      <c r="FP11" s="21">
        <f t="shared" si="9"/>
        <v>10816559.617692309</v>
      </c>
      <c r="FQ11" s="21">
        <f t="shared" si="25"/>
        <v>526886654.42000002</v>
      </c>
      <c r="FR11" s="24">
        <f t="shared" si="10"/>
        <v>5.3375910682266249E-2</v>
      </c>
      <c r="FS11" s="4">
        <f t="shared" si="11"/>
        <v>65491580</v>
      </c>
      <c r="FT11" s="21">
        <f t="shared" si="12"/>
        <v>1322426.1346153845</v>
      </c>
      <c r="FU11" s="24">
        <f t="shared" si="13"/>
        <v>2.292042112560895E-2</v>
      </c>
      <c r="FV11" s="27">
        <f t="shared" si="14"/>
        <v>246.67982649604323</v>
      </c>
      <c r="FW11" s="2">
        <f t="shared" si="15"/>
        <v>26133.358354391974</v>
      </c>
      <c r="FX11" s="3">
        <f t="shared" si="26"/>
        <v>138891190</v>
      </c>
      <c r="FY11" s="24">
        <f t="shared" si="16"/>
        <v>9.7735662039413432E-2</v>
      </c>
      <c r="FZ11" s="3">
        <f t="shared" si="27"/>
        <v>25626270</v>
      </c>
      <c r="GA11" s="32">
        <f t="shared" si="17"/>
        <v>5.3019939128052807E-2</v>
      </c>
      <c r="GB11" s="34">
        <f t="shared" si="28"/>
        <v>16686595.5</v>
      </c>
      <c r="GC11" s="3">
        <f t="shared" si="18"/>
        <v>16686595.5</v>
      </c>
      <c r="GD11" s="35">
        <f t="shared" si="29"/>
        <v>8820336.7997195031</v>
      </c>
      <c r="GE11" s="35">
        <f t="shared" si="30"/>
        <v>36369.612383184001</v>
      </c>
      <c r="GF11" s="3">
        <f t="shared" si="19"/>
        <v>3085704.6</v>
      </c>
      <c r="GG11" s="3">
        <f t="shared" si="20"/>
        <v>13600890.9</v>
      </c>
      <c r="GH11" s="18">
        <f t="shared" si="31"/>
        <v>2448160.3619999997</v>
      </c>
      <c r="GI11" s="18">
        <f t="shared" si="32"/>
        <v>13885670.699999999</v>
      </c>
      <c r="GJ11" s="33">
        <f t="shared" si="21"/>
        <v>0.24940352732366511</v>
      </c>
      <c r="GK11" s="3">
        <f t="shared" si="22"/>
        <v>67232295660959.922</v>
      </c>
      <c r="GL11" s="18">
        <f t="shared" si="33"/>
        <v>302545330474319.62</v>
      </c>
      <c r="GM11" s="33">
        <f t="shared" si="23"/>
        <v>4619606.527653167</v>
      </c>
      <c r="GN11" s="24">
        <f t="shared" si="24"/>
        <v>4619606.830076633</v>
      </c>
      <c r="GO11">
        <v>2.74</v>
      </c>
      <c r="GP11">
        <v>2.29</v>
      </c>
      <c r="GQ11">
        <v>56.03</v>
      </c>
      <c r="GR11">
        <v>107291.56</v>
      </c>
      <c r="GS11">
        <v>94.85</v>
      </c>
      <c r="GT11">
        <v>64.819999999999993</v>
      </c>
      <c r="GU11">
        <v>96.91</v>
      </c>
      <c r="GV11">
        <v>123.48</v>
      </c>
      <c r="GW11">
        <v>23.09</v>
      </c>
      <c r="GX11">
        <v>16.5</v>
      </c>
      <c r="GY11">
        <v>33.07</v>
      </c>
      <c r="GZ11">
        <v>92.73</v>
      </c>
      <c r="HA11">
        <v>18.78</v>
      </c>
      <c r="HB11">
        <v>2862.88</v>
      </c>
      <c r="HC11">
        <v>423.32</v>
      </c>
      <c r="HD11">
        <v>13.35</v>
      </c>
      <c r="HE11">
        <v>9.59</v>
      </c>
      <c r="HF11">
        <v>215.25</v>
      </c>
      <c r="HG11">
        <v>90.13</v>
      </c>
      <c r="HH11">
        <v>38.590000000000003</v>
      </c>
      <c r="HI11">
        <v>24.62</v>
      </c>
      <c r="HJ11">
        <v>1.8</v>
      </c>
      <c r="HK11">
        <v>382.25</v>
      </c>
      <c r="HL11">
        <v>76.91</v>
      </c>
      <c r="HM11">
        <v>8.57</v>
      </c>
      <c r="HN11">
        <v>68.44</v>
      </c>
      <c r="HO11">
        <v>24.08</v>
      </c>
      <c r="HP11">
        <v>45.38</v>
      </c>
      <c r="HQ11">
        <v>9.1999999999999993</v>
      </c>
      <c r="HR11">
        <v>4.51</v>
      </c>
      <c r="HS11">
        <v>35.18</v>
      </c>
      <c r="HT11">
        <v>66.31</v>
      </c>
      <c r="HU11">
        <v>11.2</v>
      </c>
      <c r="HV11">
        <v>1.46</v>
      </c>
      <c r="HW11">
        <v>6.58</v>
      </c>
      <c r="HX11">
        <v>77.27</v>
      </c>
      <c r="HY11">
        <v>22</v>
      </c>
      <c r="HZ11">
        <v>0.73</v>
      </c>
      <c r="IA11">
        <v>92.35</v>
      </c>
      <c r="IB11">
        <v>96.76</v>
      </c>
      <c r="IC11">
        <v>2.73</v>
      </c>
      <c r="ID11">
        <v>30.66</v>
      </c>
      <c r="IE11">
        <v>42.67</v>
      </c>
      <c r="IF11">
        <v>2.08</v>
      </c>
      <c r="IG11" s="2">
        <v>33.01</v>
      </c>
      <c r="IH11">
        <v>29.48</v>
      </c>
      <c r="II11">
        <v>406.77</v>
      </c>
      <c r="IJ11">
        <v>66.989999999999995</v>
      </c>
      <c r="IK11">
        <v>16.36</v>
      </c>
      <c r="IL11">
        <v>67.28</v>
      </c>
      <c r="IM11">
        <v>77.680000000000007</v>
      </c>
      <c r="IN11">
        <v>33.21</v>
      </c>
      <c r="IO11">
        <v>91.2</v>
      </c>
      <c r="IP11">
        <v>0.55000000000000004</v>
      </c>
      <c r="IQ11">
        <v>0.46</v>
      </c>
      <c r="IR11">
        <v>0.32</v>
      </c>
      <c r="IS11">
        <v>1.05</v>
      </c>
      <c r="IT11">
        <v>0.61</v>
      </c>
      <c r="IU11">
        <v>0.21</v>
      </c>
      <c r="IV11">
        <v>11.08</v>
      </c>
    </row>
    <row r="12" spans="1:256" ht="15">
      <c r="B12" t="s">
        <v>270</v>
      </c>
      <c r="D12">
        <f>MIN(D2:D11)</f>
        <v>0.27100000000000002</v>
      </c>
      <c r="E12">
        <f>MIN(E2:E11)</f>
        <v>-0.26129987400341381</v>
      </c>
      <c r="F12">
        <f>MIN(F2:F11)</f>
        <v>4.6132751378617485</v>
      </c>
      <c r="G12" s="20">
        <f>MIN(G2:G11)</f>
        <v>4.0452795564928007E-5</v>
      </c>
      <c r="H12" s="17"/>
      <c r="I12" s="17"/>
      <c r="FP12" s="5" t="s">
        <v>271</v>
      </c>
      <c r="FQ12" s="5"/>
      <c r="FR12" s="9">
        <f>MIN(FR2:FR11)</f>
        <v>3.6268466415145077E-2</v>
      </c>
      <c r="FS12" s="6"/>
      <c r="FT12" s="8" t="s">
        <v>272</v>
      </c>
      <c r="FU12" s="6">
        <f>MIN(FU2:FU11)</f>
        <v>1.2067185533741089E-2</v>
      </c>
      <c r="FV12" s="6">
        <f>MIN(FV2:FV11)</f>
        <v>96.687786404036558</v>
      </c>
      <c r="FW12" s="6">
        <f>MIN(FW2:FW11)</f>
        <v>26133.358354391974</v>
      </c>
      <c r="FY12" s="16">
        <f>MIN(FY2:FY11)</f>
        <v>9.7575615286363979E-2</v>
      </c>
      <c r="FZ12" s="19">
        <f>MIN(FZ2:FZ11)</f>
        <v>1715040</v>
      </c>
      <c r="GA12" s="16">
        <f>MIN(GA2:GA11)</f>
        <v>6.7475755809851337E-3</v>
      </c>
      <c r="GB12" s="16"/>
      <c r="GJ12" s="6">
        <f>MIN(GJ2:GJ11)</f>
        <v>0.15139727440686337</v>
      </c>
      <c r="GK12" s="6"/>
      <c r="GL12" s="6"/>
      <c r="GM12" s="6"/>
      <c r="GN12" s="6"/>
      <c r="IG12" s="2"/>
    </row>
    <row r="13" spans="1:256">
      <c r="B13" t="s">
        <v>273</v>
      </c>
      <c r="D13">
        <f>MAX(D3:D12)</f>
        <v>0.622</v>
      </c>
      <c r="E13">
        <f>MAX(E3:E12)</f>
        <v>0.15014125654999316</v>
      </c>
      <c r="F13">
        <f>MAX(F3:F12)</f>
        <v>17.467691381484435</v>
      </c>
      <c r="G13" s="20">
        <f>MAX(G3:G12)</f>
        <v>4.5605844081894115E-4</v>
      </c>
      <c r="H13" s="17"/>
      <c r="I13" s="17"/>
      <c r="FP13" t="s">
        <v>274</v>
      </c>
      <c r="FR13" s="9">
        <f>MAX(FR3:FR12)</f>
        <v>6.3891927474516316E-2</v>
      </c>
      <c r="FS13" s="6"/>
      <c r="FT13" s="6"/>
      <c r="FU13" s="6">
        <f>MAX(FU3:FU12)</f>
        <v>2.292042112560895E-2</v>
      </c>
      <c r="FV13" s="6">
        <f>MAX(FV3:FV12)</f>
        <v>246.67982649604323</v>
      </c>
      <c r="FW13" s="6">
        <f>MAX(FW3:FW12)</f>
        <v>114550.12169571468</v>
      </c>
      <c r="FY13" s="16">
        <f>MAX(FY3:FY12)</f>
        <v>0.297010969159892</v>
      </c>
      <c r="FZ13" s="19">
        <f>MAX(FZ3:FZ12)</f>
        <v>68865000</v>
      </c>
      <c r="GA13" s="16">
        <f>MAX(GA3:GA12)</f>
        <v>7.0661436830725302E-2</v>
      </c>
      <c r="GB13" s="16"/>
      <c r="GJ13" s="6">
        <f>MAX(GJ3:GJ12)</f>
        <v>0.34448667129948979</v>
      </c>
      <c r="GK13" s="6"/>
      <c r="GL13" s="6"/>
      <c r="GM13" s="6"/>
      <c r="GN13" s="6"/>
      <c r="IG13" s="2"/>
    </row>
    <row r="14" spans="1:256">
      <c r="B14" t="s">
        <v>275</v>
      </c>
      <c r="D14">
        <f>AVERAGE(D2:D11)</f>
        <v>0.42610000000000003</v>
      </c>
      <c r="E14">
        <f>AVERAGE(E2:E11)</f>
        <v>-1.2761478752125049E-2</v>
      </c>
      <c r="F14">
        <f>AVERAGE(F2:F11)</f>
        <v>10.811877113589986</v>
      </c>
      <c r="G14" s="20">
        <f>AVERAGE(G2:G11)</f>
        <v>2.3563799410759916E-4</v>
      </c>
      <c r="H14" s="17"/>
      <c r="I14" s="17"/>
      <c r="FR14" s="9">
        <f>AVERAGE(FR2:FR11)</f>
        <v>4.9602935784324578E-2</v>
      </c>
      <c r="FS14" s="9"/>
      <c r="FT14" s="9"/>
      <c r="FU14" s="9">
        <f>AVERAGE(FU2:FU11)</f>
        <v>1.7752322838552735E-2</v>
      </c>
      <c r="FV14" s="9">
        <f>AVERAGE(FV2:FV11)</f>
        <v>163.7366479839587</v>
      </c>
      <c r="FW14" s="9">
        <f>AVERAGE(FW2:FW11)</f>
        <v>65973.355591439555</v>
      </c>
      <c r="FY14" s="16">
        <f>AVERAGE(FY2:FY11)</f>
        <v>0.17817481862310031</v>
      </c>
      <c r="FZ14" s="9">
        <f>AVERAGE(FZ2:FZ11)</f>
        <v>21284715</v>
      </c>
      <c r="GA14" s="16">
        <f>AVERAGE(GA2:GA11)</f>
        <v>3.7988263509454855E-2</v>
      </c>
      <c r="GB14" s="16"/>
      <c r="GH14" t="s">
        <v>276</v>
      </c>
      <c r="GJ14" s="9">
        <f>AVERAGE(GJ2:GJ11)</f>
        <v>0.26690603265062707</v>
      </c>
      <c r="GK14" s="9"/>
      <c r="GL14" s="9"/>
      <c r="GM14" s="9"/>
      <c r="GN14" s="9"/>
      <c r="IG14" s="2"/>
    </row>
    <row r="15" spans="1:256" ht="15">
      <c r="B15" t="s">
        <v>277</v>
      </c>
      <c r="F15" s="10"/>
      <c r="DM15" s="11"/>
      <c r="FP15" t="s">
        <v>302</v>
      </c>
      <c r="FT15" s="7" t="s">
        <v>298</v>
      </c>
      <c r="FU15" s="7"/>
      <c r="GH15">
        <v>0.3</v>
      </c>
      <c r="IG15" s="2"/>
    </row>
    <row r="16" spans="1:256" ht="15">
      <c r="D16" t="s">
        <v>296</v>
      </c>
      <c r="E16">
        <v>2.6</v>
      </c>
      <c r="DM16" s="11"/>
      <c r="FP16" s="7" t="s">
        <v>278</v>
      </c>
      <c r="FQ16" s="7"/>
      <c r="FV16" t="s">
        <v>279</v>
      </c>
      <c r="GH16">
        <f>488858.84/21374.23</f>
        <v>22.871412911716586</v>
      </c>
      <c r="IG16" s="2"/>
    </row>
    <row r="17" spans="6:241" ht="15">
      <c r="CR17" s="12"/>
      <c r="DM17" s="11"/>
      <c r="FN17" t="s">
        <v>310</v>
      </c>
      <c r="FO17" s="22">
        <v>292100000000</v>
      </c>
      <c r="FP17" t="s">
        <v>299</v>
      </c>
      <c r="FQ17" s="25" t="s">
        <v>299</v>
      </c>
      <c r="FR17" s="26">
        <v>3400000000000</v>
      </c>
      <c r="FS17" t="s">
        <v>311</v>
      </c>
      <c r="FT17" s="22">
        <v>212000000000000</v>
      </c>
      <c r="FV17" s="13" t="s">
        <v>280</v>
      </c>
      <c r="FX17" t="s">
        <v>281</v>
      </c>
      <c r="FY17" s="14">
        <v>0.13550000000000001</v>
      </c>
      <c r="FZ17" s="14"/>
      <c r="GA17" s="14"/>
      <c r="GB17" s="14"/>
      <c r="GC17" s="14"/>
      <c r="GD17" s="14"/>
      <c r="GE17" s="14"/>
      <c r="GF17" s="14"/>
      <c r="GG17" s="14"/>
      <c r="GH17" s="14"/>
      <c r="GI17" s="14"/>
      <c r="GJ17" s="14"/>
      <c r="GK17" s="14"/>
      <c r="GL17" s="14"/>
      <c r="GM17" s="14"/>
      <c r="GN17" s="14"/>
      <c r="IG17" s="2"/>
    </row>
    <row r="18" spans="6:241" ht="15">
      <c r="DM18" s="11"/>
      <c r="FM18" t="s">
        <v>305</v>
      </c>
      <c r="FN18" t="s">
        <v>310</v>
      </c>
      <c r="FO18" s="22">
        <v>292100000000</v>
      </c>
      <c r="FP18" t="s">
        <v>303</v>
      </c>
      <c r="FQ18" s="25" t="s">
        <v>303</v>
      </c>
      <c r="FR18" s="26">
        <f>5200000000000</f>
        <v>5200000000000</v>
      </c>
      <c r="FS18" t="s">
        <v>311</v>
      </c>
      <c r="FT18" s="22">
        <v>948000000000</v>
      </c>
      <c r="IG18" s="2"/>
    </row>
    <row r="19" spans="6:241" ht="15">
      <c r="DM19" s="11"/>
      <c r="FN19" t="s">
        <v>310</v>
      </c>
      <c r="FO19" s="22">
        <v>292100000000</v>
      </c>
      <c r="FP19" s="12">
        <v>2270000000000</v>
      </c>
      <c r="FQ19" s="12"/>
      <c r="FS19" t="s">
        <v>312</v>
      </c>
      <c r="FT19" s="22">
        <v>105000000000</v>
      </c>
      <c r="IG19" s="2"/>
    </row>
    <row r="20" spans="6:241">
      <c r="F20" s="10"/>
      <c r="DM20" s="11"/>
      <c r="GO20">
        <f>0.06*365</f>
        <v>21.9</v>
      </c>
      <c r="IG20" s="2"/>
    </row>
    <row r="21" spans="6:241">
      <c r="L21" s="10" t="s">
        <v>282</v>
      </c>
      <c r="DM21" s="11"/>
      <c r="IG21" s="2"/>
    </row>
    <row r="22" spans="6:241">
      <c r="DM22" s="11"/>
      <c r="IG22" s="2"/>
    </row>
    <row r="23" spans="6:241">
      <c r="DM23" s="11"/>
      <c r="IG23" s="2"/>
    </row>
    <row r="24" spans="6:241">
      <c r="DM24" s="11"/>
      <c r="IG24" s="2"/>
    </row>
    <row r="25" spans="6:241">
      <c r="F25" s="10"/>
      <c r="DM25" s="11"/>
      <c r="IG25" s="2"/>
    </row>
    <row r="26" spans="6:241">
      <c r="IG26" s="2"/>
    </row>
    <row r="27" spans="6:241">
      <c r="IG27" s="2"/>
    </row>
    <row r="28" spans="6:241">
      <c r="IG28" s="2"/>
    </row>
    <row r="29" spans="6:241">
      <c r="IG29" s="2"/>
    </row>
    <row r="30" spans="6:241">
      <c r="F30" s="10"/>
      <c r="IG30" s="2"/>
    </row>
    <row r="31" spans="6:241">
      <c r="IG31" s="2"/>
    </row>
    <row r="32" spans="6:241">
      <c r="IG32" s="2"/>
    </row>
    <row r="33" spans="6:241">
      <c r="IG33" s="2"/>
    </row>
    <row r="34" spans="6:241">
      <c r="IG34" s="2"/>
    </row>
    <row r="35" spans="6:241">
      <c r="F35" s="10"/>
      <c r="IG35" s="2"/>
    </row>
    <row r="36" spans="6:241">
      <c r="IG36" s="2"/>
    </row>
    <row r="37" spans="6:241">
      <c r="IG37" s="2"/>
    </row>
    <row r="38" spans="6:241">
      <c r="IG38" s="2"/>
    </row>
  </sheetData>
  <phoneticPr fontId="7" type="noConversion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3"/>
  <dimension ref="A1:AV39"/>
  <sheetViews>
    <sheetView topLeftCell="A19" zoomScale="90" zoomScaleNormal="90" workbookViewId="0">
      <selection activeCell="E49" sqref="E49"/>
    </sheetView>
  </sheetViews>
  <sheetFormatPr defaultColWidth="11.5" defaultRowHeight="14.25"/>
  <cols>
    <col min="1" max="1" width="6.125" style="36" customWidth="1"/>
    <col min="2" max="2" width="10.625" style="36" customWidth="1"/>
    <col min="3" max="3" width="11.875" style="36" customWidth="1"/>
    <col min="4" max="4" width="9.625" style="36" customWidth="1"/>
    <col min="5" max="5" width="9.125" style="36" customWidth="1"/>
    <col min="6" max="6" width="11.875" style="36" customWidth="1"/>
    <col min="7" max="7" width="17.125" style="36" customWidth="1"/>
    <col min="8" max="8" width="14.125" style="36" customWidth="1"/>
    <col min="9" max="9" width="15.625" style="36" customWidth="1"/>
    <col min="10" max="10" width="14.5" style="36" customWidth="1"/>
    <col min="11" max="11" width="13.875" style="36" customWidth="1"/>
    <col min="12" max="14" width="11.875" style="36" customWidth="1"/>
    <col min="15" max="15" width="11.125" style="36" customWidth="1"/>
    <col min="16" max="16" width="11.875" style="36" customWidth="1"/>
    <col min="17" max="17" width="9" style="36" customWidth="1"/>
    <col min="18" max="19" width="9.625" style="36" customWidth="1"/>
    <col min="20" max="20" width="12.5" style="36" customWidth="1"/>
    <col min="21" max="21" width="10.875" style="36" customWidth="1"/>
    <col min="22" max="23" width="10.125" style="36" customWidth="1"/>
    <col min="24" max="24" width="13.875" style="36" customWidth="1"/>
    <col min="25" max="25" width="10.625" style="36" customWidth="1"/>
    <col min="26" max="26" width="11.125" style="36" customWidth="1"/>
    <col min="27" max="27" width="8.875" style="36" customWidth="1"/>
    <col min="28" max="28" width="11.875" style="36" customWidth="1"/>
    <col min="29" max="29" width="14.125" style="36" bestFit="1" customWidth="1"/>
    <col min="30" max="30" width="14.625" style="36" customWidth="1"/>
    <col min="31" max="33" width="12.875" style="36" customWidth="1"/>
    <col min="34" max="34" width="12.625" style="48" customWidth="1"/>
    <col min="35" max="35" width="10.875" style="48" customWidth="1"/>
    <col min="36" max="36" width="12.625" style="48" customWidth="1"/>
    <col min="37" max="37" width="13.125" style="48" customWidth="1"/>
    <col min="38" max="38" width="14.125" style="36" customWidth="1"/>
    <col min="39" max="39" width="12.625" style="36" customWidth="1"/>
    <col min="40" max="40" width="13" style="36" customWidth="1"/>
    <col min="41" max="41" width="14.875" style="36" customWidth="1"/>
    <col min="42" max="42" width="14.5" style="36" customWidth="1"/>
    <col min="43" max="43" width="12.125" style="36" customWidth="1"/>
    <col min="44" max="45" width="16.625" style="36" customWidth="1"/>
    <col min="46" max="46" width="12.125" style="36" customWidth="1"/>
    <col min="47" max="47" width="15.375" style="36" customWidth="1"/>
    <col min="48" max="48" width="10.125" style="36" customWidth="1"/>
    <col min="49" max="16384" width="11.5" style="36"/>
  </cols>
  <sheetData>
    <row r="1" spans="1:48" ht="15">
      <c r="A1" s="108" t="s">
        <v>400</v>
      </c>
      <c r="B1" s="108"/>
      <c r="C1" s="108" t="s">
        <v>388</v>
      </c>
      <c r="D1" s="109"/>
      <c r="E1" s="109"/>
      <c r="F1" s="109"/>
      <c r="G1" s="109"/>
      <c r="H1" s="109"/>
      <c r="I1" s="109"/>
      <c r="J1" s="109"/>
      <c r="K1" s="109"/>
      <c r="L1" s="108" t="s">
        <v>389</v>
      </c>
      <c r="M1" s="109"/>
      <c r="N1" s="109"/>
      <c r="O1" s="109"/>
      <c r="P1" s="109"/>
      <c r="Q1" s="109"/>
      <c r="R1" s="109"/>
      <c r="S1" s="109"/>
      <c r="T1" s="109"/>
      <c r="U1" s="108" t="s">
        <v>390</v>
      </c>
      <c r="V1" s="109"/>
      <c r="W1" s="109"/>
      <c r="X1" s="109"/>
      <c r="Y1" s="109"/>
      <c r="Z1" s="109"/>
      <c r="AA1" s="109"/>
      <c r="AB1" s="109"/>
      <c r="AC1" s="109"/>
      <c r="AD1" s="108" t="s">
        <v>391</v>
      </c>
      <c r="AE1" s="109"/>
      <c r="AF1" s="109"/>
      <c r="AG1" s="109"/>
      <c r="AH1" s="109"/>
      <c r="AI1" s="109"/>
      <c r="AJ1" s="109"/>
      <c r="AK1" s="109"/>
      <c r="AL1" s="109"/>
      <c r="AM1" s="108" t="s">
        <v>392</v>
      </c>
      <c r="AN1" s="108"/>
      <c r="AO1" s="108"/>
      <c r="AP1" s="108"/>
      <c r="AQ1" s="108"/>
      <c r="AR1" s="108"/>
      <c r="AS1" s="108"/>
      <c r="AT1" s="108"/>
      <c r="AU1" s="108"/>
      <c r="AV1" s="59"/>
    </row>
    <row r="2" spans="1:48" ht="16.5" customHeight="1" thickBot="1">
      <c r="A2" s="103" t="s">
        <v>399</v>
      </c>
      <c r="B2" s="37" t="s">
        <v>420</v>
      </c>
      <c r="C2" s="37" t="s">
        <v>413</v>
      </c>
      <c r="D2" s="60" t="s">
        <v>339</v>
      </c>
      <c r="E2" s="60" t="s">
        <v>340</v>
      </c>
      <c r="F2" s="64" t="s">
        <v>341</v>
      </c>
      <c r="G2" s="37" t="s">
        <v>419</v>
      </c>
      <c r="H2" s="60" t="s">
        <v>343</v>
      </c>
      <c r="I2" s="60" t="s">
        <v>344</v>
      </c>
      <c r="J2" s="64" t="s">
        <v>345</v>
      </c>
      <c r="K2" s="101" t="s">
        <v>291</v>
      </c>
      <c r="L2" s="37" t="s">
        <v>396</v>
      </c>
      <c r="M2" s="60" t="s">
        <v>346</v>
      </c>
      <c r="N2" s="60" t="s">
        <v>347</v>
      </c>
      <c r="O2" s="64" t="s">
        <v>348</v>
      </c>
      <c r="P2" s="37" t="s">
        <v>414</v>
      </c>
      <c r="Q2" s="60" t="s">
        <v>349</v>
      </c>
      <c r="R2" s="60" t="s">
        <v>350</v>
      </c>
      <c r="S2" s="64" t="s">
        <v>351</v>
      </c>
      <c r="T2" s="102" t="s">
        <v>292</v>
      </c>
      <c r="U2" s="38" t="s">
        <v>415</v>
      </c>
      <c r="V2" s="60" t="s">
        <v>352</v>
      </c>
      <c r="W2" s="60" t="s">
        <v>353</v>
      </c>
      <c r="X2" s="64" t="s">
        <v>354</v>
      </c>
      <c r="Y2" s="38" t="s">
        <v>416</v>
      </c>
      <c r="Z2" s="60" t="s">
        <v>355</v>
      </c>
      <c r="AA2" s="60" t="s">
        <v>356</v>
      </c>
      <c r="AB2" s="55" t="s">
        <v>357</v>
      </c>
      <c r="AC2" s="101" t="s">
        <v>293</v>
      </c>
      <c r="AD2" s="37" t="s">
        <v>417</v>
      </c>
      <c r="AE2" s="101" t="s">
        <v>358</v>
      </c>
      <c r="AF2" s="101" t="s">
        <v>359</v>
      </c>
      <c r="AG2" s="55" t="s">
        <v>360</v>
      </c>
      <c r="AH2" s="37" t="s">
        <v>397</v>
      </c>
      <c r="AI2" s="101" t="s">
        <v>361</v>
      </c>
      <c r="AJ2" s="101" t="s">
        <v>362</v>
      </c>
      <c r="AK2" s="55" t="s">
        <v>363</v>
      </c>
      <c r="AL2" s="101" t="s">
        <v>294</v>
      </c>
      <c r="AM2" s="39" t="s">
        <v>418</v>
      </c>
      <c r="AN2" s="101" t="s">
        <v>364</v>
      </c>
      <c r="AO2" s="101" t="s">
        <v>365</v>
      </c>
      <c r="AP2" s="55" t="s">
        <v>366</v>
      </c>
      <c r="AQ2" s="37" t="s">
        <v>398</v>
      </c>
      <c r="AR2" s="101" t="s">
        <v>367</v>
      </c>
      <c r="AS2" s="101" t="s">
        <v>368</v>
      </c>
      <c r="AT2" s="55" t="s">
        <v>369</v>
      </c>
      <c r="AU2" s="101" t="s">
        <v>295</v>
      </c>
      <c r="AV2" s="101" t="s">
        <v>285</v>
      </c>
    </row>
    <row r="3" spans="1:48">
      <c r="A3" s="104">
        <v>1</v>
      </c>
      <c r="B3" s="36" t="s">
        <v>269</v>
      </c>
      <c r="C3" s="40">
        <v>0.51719999999999999</v>
      </c>
      <c r="D3" s="54">
        <f t="shared" ref="D3:D18" si="0">(IF((C$27-C3)&gt;=0,C$27-C3,0))</f>
        <v>0</v>
      </c>
      <c r="E3" s="54">
        <f t="shared" ref="E3:E18" si="1">(IF((C3-C$27)&gt;=0,C3-C$27,0))</f>
        <v>0.13778388593260832</v>
      </c>
      <c r="F3" s="55">
        <f t="shared" ref="F3:F18" si="2">(D3/(D$28*D$25)+E3/(E$28*E$25))*K$28</f>
        <v>1.8157358217544657</v>
      </c>
      <c r="G3" s="42">
        <f>201336.74/1952368</f>
        <v>0.10312438023979086</v>
      </c>
      <c r="H3" s="57">
        <f t="shared" ref="H3:H18" si="3">(IF((G$27-G3)&gt;=0,G$27-G3,0))</f>
        <v>0</v>
      </c>
      <c r="I3" s="57">
        <f t="shared" ref="I3:I18" si="4">(IF((G3-G$27)&gt;=0,G3-G$27,0))</f>
        <v>4.179548388828111E-2</v>
      </c>
      <c r="J3" s="55">
        <f t="shared" ref="J3:J18" si="5">H3/(H$28*H$25)+I3/(I$28*I$25)*K$28</f>
        <v>3.4074870391216665</v>
      </c>
      <c r="K3" s="57">
        <f>F3+J3</f>
        <v>5.223222860876132</v>
      </c>
      <c r="L3" s="40">
        <v>3.9186335309245157</v>
      </c>
      <c r="M3" s="60">
        <f t="shared" ref="M3:M18" si="6">(IF((L$27-L3)&gt;=0,L$27-L3,0))</f>
        <v>1.3747343703423454E-2</v>
      </c>
      <c r="N3" s="60">
        <f t="shared" ref="N3:N18" si="7">(IF((L3-L$27)&gt;=0,L3-L$27,0))</f>
        <v>0</v>
      </c>
      <c r="O3" s="55">
        <f t="shared" ref="O3:O18" si="8">(M3/(M$28*M$25)+N3/(N$28*N$25))*T$28</f>
        <v>3.4959339244381185E-5</v>
      </c>
      <c r="P3" s="40">
        <v>0.15859696848380372</v>
      </c>
      <c r="Q3" s="60">
        <f t="shared" ref="Q3:Q18" si="9">(IF((P$27-P3)&gt;=0,P$27-P3,0))</f>
        <v>6.1985905935492136E-3</v>
      </c>
      <c r="R3" s="60">
        <f t="shared" ref="R3:R18" si="10">(IF((P3-P$27)&gt;=0,P3-P$27,0))</f>
        <v>0</v>
      </c>
      <c r="S3" s="55">
        <f t="shared" ref="S3:S18" si="11">(Q3/(Q$28*Q$25)+R3/(R$28*R$25))*T$28</f>
        <v>3.7613820592335712E-4</v>
      </c>
      <c r="T3" s="62">
        <f>O3+S3</f>
        <v>4.1109754516773829E-4</v>
      </c>
      <c r="U3" s="40">
        <v>-0.17735063109075408</v>
      </c>
      <c r="V3" s="63">
        <f t="shared" ref="V3:V18" si="12">(IF((U$27-U3)&gt;=0,U$27-U3,0))</f>
        <v>0.32555008303506638</v>
      </c>
      <c r="W3" s="63">
        <f t="shared" ref="W3:W18" si="13">(IF((U3-U$27)&gt;=0,U3-U$27,0))</f>
        <v>0</v>
      </c>
      <c r="X3" s="64">
        <f t="shared" ref="X3:X18" si="14">(V3/(V$28*V$25)+W3/(W$28*W$25))*AC$28</f>
        <v>10.983511705474987</v>
      </c>
      <c r="Y3" s="42">
        <v>0.42490005743454901</v>
      </c>
      <c r="Z3" s="60">
        <f t="shared" ref="Z3:Z18" si="15">(IF((Y$27-Y3)&gt;=0,Y$27-Y3,0))</f>
        <v>0.51865939191707433</v>
      </c>
      <c r="AA3" s="60">
        <f t="shared" ref="AA3:AA18" si="16">(IF((Y3-Y$27)&gt;=0,Y3-Y$27,0))</f>
        <v>0</v>
      </c>
      <c r="AB3" s="55">
        <f t="shared" ref="AB3:AB18" si="17">(Z3/(Z$28*Z$25)+AA3/(AA$28*AA$25))*AC$28</f>
        <v>2.7484192557950458</v>
      </c>
      <c r="AC3" s="66">
        <f>X3+AB3</f>
        <v>13.731930961270033</v>
      </c>
      <c r="AD3" s="43">
        <v>11.4919510829742</v>
      </c>
      <c r="AE3" s="60">
        <f t="shared" ref="AE3:AE18" si="18">(IF((AD$27-AD3)&gt;=0,AD$27-AD3,0))</f>
        <v>3.1788238257979557</v>
      </c>
      <c r="AF3" s="60">
        <f t="shared" ref="AF3:AF18" si="19">(IF((AD3-AD$27)&gt;=0,AD3-AD$27,0))</f>
        <v>0</v>
      </c>
      <c r="AG3" s="55">
        <f t="shared" ref="AG3:AG18" si="20">(AE3/(AE$28*AE$25)+AF3/(AF$28*AF$25))*AL$28</f>
        <v>1.0833864760263032</v>
      </c>
      <c r="AH3" s="40">
        <v>1.1055083205187697</v>
      </c>
      <c r="AI3" s="60">
        <f t="shared" ref="AI3:AI18" si="21">(IF((AH$27-AH3)&gt;=0,AH$27-AH3,0))</f>
        <v>0</v>
      </c>
      <c r="AJ3" s="60">
        <f t="shared" ref="AJ3:AJ18" si="22">(IF((AH3-AH$27)&gt;=0,AH3-AH$27,0))</f>
        <v>0.23952063927543144</v>
      </c>
      <c r="AK3" s="55">
        <f t="shared" ref="AK3:AK18" si="23">(AI3/(AI$28*AI$25)+AJ3/(AJ$28*AJ$25))*AL$28</f>
        <v>2.7658665875193588E-3</v>
      </c>
      <c r="AL3" s="62">
        <f>AG3+AK3</f>
        <v>1.0861523426138227</v>
      </c>
      <c r="AM3" s="44">
        <v>159.73087598257754</v>
      </c>
      <c r="AN3" s="60">
        <f t="shared" ref="AN3:AN18" si="24">(IF((AM$27-AM3)&gt;=0,AM$27-AM3,0))</f>
        <v>0</v>
      </c>
      <c r="AO3" s="60">
        <f t="shared" ref="AO3:AO18" si="25">(IF((AM3-AM$27)&gt;=0,AM3-AM$27,0))</f>
        <v>49.730875982577544</v>
      </c>
      <c r="AP3" s="55">
        <f t="shared" ref="AP3:AP18" si="26">(AN3/(AN$28*AN$25)+AO3/(AO$28*AO$25))*AU$28</f>
        <v>4.5209887256888676E-3</v>
      </c>
      <c r="AQ3" s="42">
        <v>0.71480216816973852</v>
      </c>
      <c r="AR3" s="60">
        <f t="shared" ref="AR3:AR18" si="27">(IF((AQ$27-AQ3)&gt;=0,AQ$27-AQ3,0))</f>
        <v>0.77833625905211723</v>
      </c>
      <c r="AS3" s="60">
        <f t="shared" ref="AS3:AS18" si="28">(IF((AQ3-AQ$27)&gt;=0,AQ3-AQ$27,0))</f>
        <v>0</v>
      </c>
      <c r="AT3" s="55">
        <f t="shared" ref="AT3:AT18" si="29">(AR3/(AR$28*AR$25)+AS3/(AS$28*AS$25))*AU$28</f>
        <v>2.6063767593882612</v>
      </c>
      <c r="AU3" s="68">
        <f>AP3+AT3</f>
        <v>2.6108977481139499</v>
      </c>
      <c r="AV3" s="69">
        <f>(F3+J3+O3+S3+X3+AB3+AG3+AK3+AP3+AT3)</f>
        <v>22.652615010419105</v>
      </c>
    </row>
    <row r="4" spans="1:48">
      <c r="A4" s="104">
        <v>2</v>
      </c>
      <c r="B4" s="36" t="s">
        <v>241</v>
      </c>
      <c r="C4" s="40">
        <v>0.622</v>
      </c>
      <c r="D4" s="54">
        <f t="shared" si="0"/>
        <v>0</v>
      </c>
      <c r="E4" s="54">
        <f t="shared" si="1"/>
        <v>0.24258388593260832</v>
      </c>
      <c r="F4" s="55">
        <f t="shared" si="2"/>
        <v>3.1968052612747058</v>
      </c>
      <c r="G4" s="42">
        <f>295183.5/3128332</f>
        <v>9.4358111607080061E-2</v>
      </c>
      <c r="H4" s="57">
        <f t="shared" si="3"/>
        <v>0</v>
      </c>
      <c r="I4" s="57">
        <f t="shared" si="4"/>
        <v>3.3029215255570316E-2</v>
      </c>
      <c r="J4" s="55">
        <f t="shared" si="5"/>
        <v>2.6927938720975555</v>
      </c>
      <c r="K4" s="57">
        <f t="shared" ref="K4:K22" si="30">F4+J4</f>
        <v>5.8895991333722613</v>
      </c>
      <c r="L4" s="40">
        <v>3.7401055493532196</v>
      </c>
      <c r="M4" s="60">
        <f t="shared" si="6"/>
        <v>0.19227532527471958</v>
      </c>
      <c r="N4" s="60">
        <f t="shared" si="7"/>
        <v>0</v>
      </c>
      <c r="O4" s="55">
        <f t="shared" si="8"/>
        <v>4.889539731903808E-4</v>
      </c>
      <c r="P4" s="40">
        <v>0.22769285916624704</v>
      </c>
      <c r="Q4" s="60">
        <f t="shared" si="9"/>
        <v>0</v>
      </c>
      <c r="R4" s="60">
        <f t="shared" si="10"/>
        <v>6.2897300088894104E-2</v>
      </c>
      <c r="S4" s="55">
        <f t="shared" si="11"/>
        <v>1.9083432964164682</v>
      </c>
      <c r="T4" s="62">
        <f t="shared" ref="T4:T22" si="31">O4+S4</f>
        <v>1.9088322503896586</v>
      </c>
      <c r="U4" s="40">
        <v>-4.6213829846638708E-2</v>
      </c>
      <c r="V4" s="63">
        <f t="shared" si="12"/>
        <v>0.19441328179095099</v>
      </c>
      <c r="W4" s="63">
        <f t="shared" si="13"/>
        <v>0</v>
      </c>
      <c r="X4" s="64">
        <f t="shared" si="14"/>
        <v>6.559176813420474</v>
      </c>
      <c r="Y4" s="42">
        <v>0.45868057717559624</v>
      </c>
      <c r="Z4" s="60">
        <f t="shared" si="15"/>
        <v>0.48487887217602704</v>
      </c>
      <c r="AA4" s="60">
        <f t="shared" si="16"/>
        <v>0</v>
      </c>
      <c r="AB4" s="55">
        <f t="shared" si="17"/>
        <v>2.5694134720881476</v>
      </c>
      <c r="AC4" s="66">
        <f t="shared" ref="AC4:AC22" si="32">X4+AB4</f>
        <v>9.1285902855086221</v>
      </c>
      <c r="AD4" s="43">
        <v>15.425684590566817</v>
      </c>
      <c r="AE4" s="60">
        <f t="shared" si="18"/>
        <v>0</v>
      </c>
      <c r="AF4" s="60">
        <f t="shared" si="19"/>
        <v>0.75490968179466122</v>
      </c>
      <c r="AG4" s="55">
        <f t="shared" si="20"/>
        <v>5.1456701264176237E-4</v>
      </c>
      <c r="AH4" s="40">
        <v>0.97424725267616397</v>
      </c>
      <c r="AI4" s="60">
        <f t="shared" si="21"/>
        <v>0</v>
      </c>
      <c r="AJ4" s="60">
        <f t="shared" si="22"/>
        <v>0.10825957143282572</v>
      </c>
      <c r="AK4" s="55">
        <f t="shared" si="23"/>
        <v>1.2501283075689077E-3</v>
      </c>
      <c r="AL4" s="62">
        <f t="shared" ref="AL4:AL22" si="33">AG4+AK4</f>
        <v>1.7646953202106702E-3</v>
      </c>
      <c r="AM4" s="44">
        <v>125.34315789210859</v>
      </c>
      <c r="AN4" s="60">
        <f t="shared" si="24"/>
        <v>0</v>
      </c>
      <c r="AO4" s="60">
        <f t="shared" si="25"/>
        <v>15.343157892108593</v>
      </c>
      <c r="AP4" s="55">
        <f t="shared" si="26"/>
        <v>1.3948325356462356E-3</v>
      </c>
      <c r="AQ4" s="42">
        <v>0.38185220124964397</v>
      </c>
      <c r="AR4" s="60">
        <f t="shared" si="27"/>
        <v>1.1112862259722118</v>
      </c>
      <c r="AS4" s="60">
        <f t="shared" si="28"/>
        <v>0</v>
      </c>
      <c r="AT4" s="55">
        <f t="shared" si="29"/>
        <v>3.7213101133559294</v>
      </c>
      <c r="AU4" s="68">
        <f t="shared" ref="AU4:AU22" si="34">AP4+AT4</f>
        <v>3.7227049458915755</v>
      </c>
      <c r="AV4" s="69">
        <f t="shared" ref="AV4:AV22" si="35">(F4+J4+O4+S4+X4+AB4+AG4+AK4+AP4+AT4)</f>
        <v>20.651491310482324</v>
      </c>
    </row>
    <row r="5" spans="1:48">
      <c r="A5" s="104">
        <v>3</v>
      </c>
      <c r="B5" s="36" t="s">
        <v>257</v>
      </c>
      <c r="C5" s="40">
        <v>0.55820000000000003</v>
      </c>
      <c r="D5" s="54">
        <f t="shared" si="0"/>
        <v>0</v>
      </c>
      <c r="E5" s="54">
        <f t="shared" si="1"/>
        <v>0.17878388593260836</v>
      </c>
      <c r="F5" s="55">
        <f t="shared" si="2"/>
        <v>2.3560397055362396</v>
      </c>
      <c r="G5" s="42">
        <f>234015.43/2429972</f>
        <v>9.6303755763440899E-2</v>
      </c>
      <c r="H5" s="57">
        <f t="shared" si="3"/>
        <v>0</v>
      </c>
      <c r="I5" s="57">
        <f t="shared" si="4"/>
        <v>3.4974859411931153E-2</v>
      </c>
      <c r="J5" s="55">
        <f t="shared" si="5"/>
        <v>2.8514176426289275</v>
      </c>
      <c r="K5" s="57">
        <f t="shared" si="30"/>
        <v>5.2074573481651676</v>
      </c>
      <c r="L5" s="40">
        <v>4.3918291324999492</v>
      </c>
      <c r="M5" s="60">
        <f t="shared" si="6"/>
        <v>0</v>
      </c>
      <c r="N5" s="60">
        <f t="shared" si="7"/>
        <v>0.45944825787201005</v>
      </c>
      <c r="O5" s="55">
        <f t="shared" si="8"/>
        <v>0.58418585650796173</v>
      </c>
      <c r="P5" s="40">
        <v>0.23824903984046789</v>
      </c>
      <c r="Q5" s="60">
        <f t="shared" si="9"/>
        <v>0</v>
      </c>
      <c r="R5" s="60">
        <f t="shared" si="10"/>
        <v>7.3453480763114948E-2</v>
      </c>
      <c r="S5" s="55">
        <f t="shared" si="11"/>
        <v>2.2286243990542496</v>
      </c>
      <c r="T5" s="62">
        <f t="shared" si="31"/>
        <v>2.8128102555622112</v>
      </c>
      <c r="U5" s="40">
        <v>8.9592636103192555E-3</v>
      </c>
      <c r="V5" s="63">
        <f t="shared" si="12"/>
        <v>0.13924018833399301</v>
      </c>
      <c r="W5" s="63">
        <f t="shared" si="13"/>
        <v>0</v>
      </c>
      <c r="X5" s="64">
        <f t="shared" si="14"/>
        <v>4.6977295296042723</v>
      </c>
      <c r="Y5" s="42">
        <v>0.60238127340678305</v>
      </c>
      <c r="Z5" s="60">
        <f t="shared" si="15"/>
        <v>0.34117817594484023</v>
      </c>
      <c r="AA5" s="60">
        <f t="shared" si="16"/>
        <v>0</v>
      </c>
      <c r="AB5" s="55">
        <f t="shared" si="17"/>
        <v>1.8079315308605322</v>
      </c>
      <c r="AC5" s="66">
        <f t="shared" si="32"/>
        <v>6.5056610604648046</v>
      </c>
      <c r="AD5" s="43">
        <v>13.83693166516148</v>
      </c>
      <c r="AE5" s="60">
        <f t="shared" si="18"/>
        <v>0.83384324361067641</v>
      </c>
      <c r="AF5" s="60">
        <f t="shared" si="19"/>
        <v>0</v>
      </c>
      <c r="AG5" s="55">
        <f t="shared" si="20"/>
        <v>0.28418513977475485</v>
      </c>
      <c r="AH5" s="40">
        <v>0.47158557301446841</v>
      </c>
      <c r="AI5" s="60">
        <f t="shared" si="21"/>
        <v>0.39440210822886984</v>
      </c>
      <c r="AJ5" s="60">
        <f t="shared" si="22"/>
        <v>0</v>
      </c>
      <c r="AK5" s="55">
        <f t="shared" si="23"/>
        <v>2.2771808235343984</v>
      </c>
      <c r="AL5" s="62">
        <f t="shared" si="33"/>
        <v>2.5613659633091532</v>
      </c>
      <c r="AM5" s="44">
        <v>136.98600820982736</v>
      </c>
      <c r="AN5" s="60">
        <f t="shared" si="24"/>
        <v>0</v>
      </c>
      <c r="AO5" s="60">
        <f t="shared" si="25"/>
        <v>26.986008209827361</v>
      </c>
      <c r="AP5" s="55">
        <f t="shared" si="26"/>
        <v>2.4532734736206693E-3</v>
      </c>
      <c r="AQ5" s="42">
        <v>0.62158954940154598</v>
      </c>
      <c r="AR5" s="60">
        <f t="shared" si="27"/>
        <v>0.87154887782030976</v>
      </c>
      <c r="AS5" s="60">
        <f t="shared" si="28"/>
        <v>0</v>
      </c>
      <c r="AT5" s="55">
        <f t="shared" si="29"/>
        <v>2.9185133204358014</v>
      </c>
      <c r="AU5" s="68">
        <f t="shared" si="34"/>
        <v>2.920966593909422</v>
      </c>
      <c r="AV5" s="69">
        <f t="shared" si="35"/>
        <v>20.008261221410756</v>
      </c>
    </row>
    <row r="6" spans="1:48">
      <c r="A6" s="104">
        <v>4</v>
      </c>
      <c r="B6" s="36" t="s">
        <v>249</v>
      </c>
      <c r="C6" s="40">
        <v>0.27100000000000002</v>
      </c>
      <c r="D6" s="54">
        <f t="shared" si="0"/>
        <v>0.10841611406739166</v>
      </c>
      <c r="E6" s="54">
        <f t="shared" si="1"/>
        <v>0</v>
      </c>
      <c r="F6" s="55">
        <f t="shared" si="2"/>
        <v>2.8574462192750951E-3</v>
      </c>
      <c r="G6" s="42">
        <f>251115/2754765</f>
        <v>9.1156595934680451E-2</v>
      </c>
      <c r="H6" s="57">
        <f t="shared" si="3"/>
        <v>0</v>
      </c>
      <c r="I6" s="57">
        <f t="shared" si="4"/>
        <v>2.9827699583170705E-2</v>
      </c>
      <c r="J6" s="55">
        <f t="shared" si="5"/>
        <v>2.4317818644747575</v>
      </c>
      <c r="K6" s="57">
        <f t="shared" si="30"/>
        <v>2.4346393106940325</v>
      </c>
      <c r="L6" s="40">
        <v>3.3277659935580091</v>
      </c>
      <c r="M6" s="60">
        <f t="shared" si="6"/>
        <v>0.60461488106993011</v>
      </c>
      <c r="N6" s="60">
        <f t="shared" si="7"/>
        <v>0</v>
      </c>
      <c r="O6" s="55">
        <f t="shared" si="8"/>
        <v>1.5375287906900308E-3</v>
      </c>
      <c r="P6" s="40">
        <v>0.17131312459251186</v>
      </c>
      <c r="Q6" s="60">
        <f t="shared" si="9"/>
        <v>0</v>
      </c>
      <c r="R6" s="60">
        <f t="shared" si="10"/>
        <v>6.5175655151589185E-3</v>
      </c>
      <c r="S6" s="55">
        <f t="shared" si="11"/>
        <v>0.19774700094010594</v>
      </c>
      <c r="T6" s="62">
        <f t="shared" si="31"/>
        <v>0.19928452973079597</v>
      </c>
      <c r="U6" s="40">
        <v>8.2535483995845906E-3</v>
      </c>
      <c r="V6" s="63">
        <f t="shared" si="12"/>
        <v>0.13994590354472769</v>
      </c>
      <c r="W6" s="63">
        <f t="shared" si="13"/>
        <v>0</v>
      </c>
      <c r="X6" s="64">
        <f t="shared" si="14"/>
        <v>4.7215391726723128</v>
      </c>
      <c r="Y6" s="42">
        <v>0.93446363433525048</v>
      </c>
      <c r="Z6" s="60">
        <f t="shared" si="15"/>
        <v>9.0958150163727991E-3</v>
      </c>
      <c r="AA6" s="60">
        <f t="shared" si="16"/>
        <v>0</v>
      </c>
      <c r="AB6" s="55">
        <f t="shared" si="17"/>
        <v>4.8199480290420933E-2</v>
      </c>
      <c r="AC6" s="66">
        <f t="shared" si="32"/>
        <v>4.7697386529627339</v>
      </c>
      <c r="AD6" s="43">
        <v>7.5420530562482355</v>
      </c>
      <c r="AE6" s="60">
        <f t="shared" si="18"/>
        <v>7.1287218525239204</v>
      </c>
      <c r="AF6" s="60">
        <f t="shared" si="19"/>
        <v>0</v>
      </c>
      <c r="AG6" s="55">
        <f t="shared" si="20"/>
        <v>2.4295655467597062</v>
      </c>
      <c r="AH6" s="40">
        <v>0.61037588631811202</v>
      </c>
      <c r="AI6" s="60">
        <f t="shared" si="21"/>
        <v>0.25561179492522623</v>
      </c>
      <c r="AJ6" s="60">
        <f t="shared" si="22"/>
        <v>0</v>
      </c>
      <c r="AK6" s="55">
        <f t="shared" si="23"/>
        <v>1.4758396710576336</v>
      </c>
      <c r="AL6" s="62">
        <f t="shared" si="33"/>
        <v>3.9054052178173397</v>
      </c>
      <c r="AM6" s="44">
        <v>184.4163302778388</v>
      </c>
      <c r="AN6" s="60">
        <f t="shared" si="24"/>
        <v>0</v>
      </c>
      <c r="AO6" s="60">
        <f t="shared" si="25"/>
        <v>74.416330277838796</v>
      </c>
      <c r="AP6" s="55">
        <f t="shared" si="26"/>
        <v>6.7651209343489813E-3</v>
      </c>
      <c r="AQ6" s="42">
        <v>0.81987339589015718</v>
      </c>
      <c r="AR6" s="60">
        <f t="shared" si="27"/>
        <v>0.67326503133169857</v>
      </c>
      <c r="AS6" s="60">
        <f t="shared" si="28"/>
        <v>0</v>
      </c>
      <c r="AT6" s="55">
        <f t="shared" si="29"/>
        <v>2.2545298515435714</v>
      </c>
      <c r="AU6" s="68">
        <f t="shared" si="34"/>
        <v>2.2612949724779203</v>
      </c>
      <c r="AV6" s="69">
        <f t="shared" si="35"/>
        <v>13.570362683682822</v>
      </c>
    </row>
    <row r="7" spans="1:48">
      <c r="A7" s="104">
        <v>5</v>
      </c>
      <c r="B7" s="36" t="s">
        <v>237</v>
      </c>
      <c r="C7" s="40">
        <v>0.42409999999999998</v>
      </c>
      <c r="D7" s="54">
        <f t="shared" si="0"/>
        <v>0</v>
      </c>
      <c r="E7" s="54">
        <f t="shared" si="1"/>
        <v>4.4683885932608303E-2</v>
      </c>
      <c r="F7" s="55">
        <f t="shared" si="2"/>
        <v>0.58885066126463426</v>
      </c>
      <c r="G7" s="42">
        <f>387128.36/5862595</f>
        <v>6.6033618218553386E-2</v>
      </c>
      <c r="H7" s="57">
        <f t="shared" si="3"/>
        <v>0</v>
      </c>
      <c r="I7" s="57">
        <f t="shared" si="4"/>
        <v>4.7047218670436403E-3</v>
      </c>
      <c r="J7" s="55">
        <f t="shared" si="5"/>
        <v>0.38356485661166007</v>
      </c>
      <c r="K7" s="57">
        <f t="shared" si="30"/>
        <v>0.97241551787629432</v>
      </c>
      <c r="L7" s="40">
        <v>4.0490112070278199</v>
      </c>
      <c r="M7" s="60">
        <f t="shared" si="6"/>
        <v>0</v>
      </c>
      <c r="N7" s="60">
        <f t="shared" si="7"/>
        <v>0.11663033239988074</v>
      </c>
      <c r="O7" s="55">
        <f t="shared" si="8"/>
        <v>0.14829480678281917</v>
      </c>
      <c r="P7" s="40">
        <v>9.7575615286363979E-2</v>
      </c>
      <c r="Q7" s="60">
        <f t="shared" si="9"/>
        <v>6.7219943790988959E-2</v>
      </c>
      <c r="R7" s="60">
        <f t="shared" si="10"/>
        <v>0</v>
      </c>
      <c r="S7" s="55">
        <f t="shared" si="11"/>
        <v>4.0789900023602442E-3</v>
      </c>
      <c r="T7" s="62">
        <f t="shared" si="31"/>
        <v>0.15237379678517943</v>
      </c>
      <c r="U7" s="40">
        <v>-0.19692164417648578</v>
      </c>
      <c r="V7" s="63">
        <f t="shared" si="12"/>
        <v>0.34512109612079805</v>
      </c>
      <c r="W7" s="63">
        <f t="shared" si="13"/>
        <v>0</v>
      </c>
      <c r="X7" s="64">
        <f t="shared" si="14"/>
        <v>11.643804737229441</v>
      </c>
      <c r="Y7" s="42">
        <v>0.43676860446893512</v>
      </c>
      <c r="Z7" s="60">
        <f t="shared" si="15"/>
        <v>0.50679084488268811</v>
      </c>
      <c r="AA7" s="60">
        <f t="shared" si="16"/>
        <v>0</v>
      </c>
      <c r="AB7" s="55">
        <f t="shared" si="17"/>
        <v>2.6855268379270361</v>
      </c>
      <c r="AC7" s="66">
        <f t="shared" si="32"/>
        <v>14.329331575156477</v>
      </c>
      <c r="AD7" s="43">
        <v>4.6132751378617485</v>
      </c>
      <c r="AE7" s="60">
        <f t="shared" si="18"/>
        <v>10.057499770910407</v>
      </c>
      <c r="AF7" s="60">
        <f t="shared" si="19"/>
        <v>0</v>
      </c>
      <c r="AG7" s="55">
        <f t="shared" si="20"/>
        <v>3.4277329702934387</v>
      </c>
      <c r="AH7" s="40">
        <v>0.43348569105597295</v>
      </c>
      <c r="AI7" s="60">
        <f t="shared" si="21"/>
        <v>0.43250199018736529</v>
      </c>
      <c r="AJ7" s="60">
        <f t="shared" si="22"/>
        <v>0</v>
      </c>
      <c r="AK7" s="55">
        <f t="shared" si="23"/>
        <v>2.4971601764958269</v>
      </c>
      <c r="AL7" s="62">
        <f t="shared" si="33"/>
        <v>5.924893146789266</v>
      </c>
      <c r="AM7" s="44">
        <v>169.58933530139075</v>
      </c>
      <c r="AN7" s="60">
        <f t="shared" si="24"/>
        <v>0</v>
      </c>
      <c r="AO7" s="60">
        <f t="shared" si="25"/>
        <v>59.589335301390747</v>
      </c>
      <c r="AP7" s="55">
        <f t="shared" si="26"/>
        <v>5.4172123001264318E-3</v>
      </c>
      <c r="AQ7" s="42">
        <v>0.86240607401704938</v>
      </c>
      <c r="AR7" s="60">
        <f t="shared" si="27"/>
        <v>0.63073235320480636</v>
      </c>
      <c r="AS7" s="60">
        <f t="shared" si="28"/>
        <v>0</v>
      </c>
      <c r="AT7" s="55">
        <f t="shared" si="29"/>
        <v>2.1121027418012122</v>
      </c>
      <c r="AU7" s="68">
        <f t="shared" si="34"/>
        <v>2.1175199541013385</v>
      </c>
      <c r="AV7" s="69">
        <f t="shared" si="35"/>
        <v>23.496533990708556</v>
      </c>
    </row>
    <row r="8" spans="1:48">
      <c r="A8" s="104">
        <v>6</v>
      </c>
      <c r="B8" s="36" t="s">
        <v>245</v>
      </c>
      <c r="C8" s="40">
        <v>0.38750000000000001</v>
      </c>
      <c r="D8" s="54">
        <f t="shared" si="0"/>
        <v>0</v>
      </c>
      <c r="E8" s="54">
        <f t="shared" si="1"/>
        <v>8.0838859326083368E-3</v>
      </c>
      <c r="F8" s="55">
        <f t="shared" si="2"/>
        <v>0.10653060891310064</v>
      </c>
      <c r="G8" s="42">
        <f>224126.18/2776732</f>
        <v>8.0715812689161212E-2</v>
      </c>
      <c r="H8" s="57">
        <f t="shared" si="3"/>
        <v>0</v>
      </c>
      <c r="I8" s="57">
        <f t="shared" si="4"/>
        <v>1.9386916337651466E-2</v>
      </c>
      <c r="J8" s="55">
        <f t="shared" si="5"/>
        <v>1.580569477928834</v>
      </c>
      <c r="K8" s="57">
        <f t="shared" si="30"/>
        <v>1.6871000868419346</v>
      </c>
      <c r="L8" s="40">
        <v>4.309180062582727</v>
      </c>
      <c r="M8" s="60">
        <f t="shared" si="6"/>
        <v>0</v>
      </c>
      <c r="N8" s="60">
        <f t="shared" si="7"/>
        <v>0.37679918795478784</v>
      </c>
      <c r="O8" s="55">
        <f t="shared" si="8"/>
        <v>0.47909803242347238</v>
      </c>
      <c r="P8" s="40">
        <v>0.2098840604916575</v>
      </c>
      <c r="Q8" s="60">
        <f t="shared" si="9"/>
        <v>0</v>
      </c>
      <c r="R8" s="60">
        <f t="shared" si="10"/>
        <v>4.5088501414304566E-2</v>
      </c>
      <c r="S8" s="55">
        <f t="shared" si="11"/>
        <v>1.3680132421875701</v>
      </c>
      <c r="T8" s="62">
        <f t="shared" si="31"/>
        <v>1.8471112746110425</v>
      </c>
      <c r="U8" s="40">
        <v>-1.7071672122013996E-2</v>
      </c>
      <c r="V8" s="63">
        <f t="shared" si="12"/>
        <v>0.16527112406632627</v>
      </c>
      <c r="W8" s="63">
        <f t="shared" si="13"/>
        <v>0</v>
      </c>
      <c r="X8" s="64">
        <f t="shared" si="14"/>
        <v>5.5759694755291287</v>
      </c>
      <c r="Y8" s="42">
        <v>0.65556978493810425</v>
      </c>
      <c r="Z8" s="60">
        <f t="shared" si="15"/>
        <v>0.28798966441351903</v>
      </c>
      <c r="AA8" s="60">
        <f t="shared" si="16"/>
        <v>0</v>
      </c>
      <c r="AB8" s="55">
        <f t="shared" si="17"/>
        <v>1.5260811844522044</v>
      </c>
      <c r="AC8" s="66">
        <f t="shared" si="32"/>
        <v>7.1020506599813329</v>
      </c>
      <c r="AD8" s="43">
        <v>17.467691381484435</v>
      </c>
      <c r="AE8" s="60">
        <f t="shared" si="18"/>
        <v>0</v>
      </c>
      <c r="AF8" s="60">
        <f t="shared" si="19"/>
        <v>2.7969164727122795</v>
      </c>
      <c r="AG8" s="55">
        <f t="shared" si="20"/>
        <v>1.9064544920799707E-3</v>
      </c>
      <c r="AH8" s="40">
        <v>0.66239916233389728</v>
      </c>
      <c r="AI8" s="60">
        <f t="shared" si="21"/>
        <v>0.20358851890944096</v>
      </c>
      <c r="AJ8" s="60">
        <f t="shared" si="22"/>
        <v>0</v>
      </c>
      <c r="AK8" s="55">
        <f t="shared" si="23"/>
        <v>1.17547006336822</v>
      </c>
      <c r="AL8" s="62">
        <f t="shared" si="33"/>
        <v>1.1773765178603</v>
      </c>
      <c r="AM8" s="44">
        <v>130.00854695746131</v>
      </c>
      <c r="AN8" s="60">
        <f t="shared" si="24"/>
        <v>0</v>
      </c>
      <c r="AO8" s="60">
        <f t="shared" si="25"/>
        <v>20.008546957461306</v>
      </c>
      <c r="AP8" s="55">
        <f t="shared" si="26"/>
        <v>1.8189588143146642E-3</v>
      </c>
      <c r="AQ8" s="42">
        <v>1.0802225879913887</v>
      </c>
      <c r="AR8" s="60">
        <f t="shared" si="27"/>
        <v>0.41291583923046704</v>
      </c>
      <c r="AS8" s="60">
        <f t="shared" si="28"/>
        <v>0</v>
      </c>
      <c r="AT8" s="55">
        <f t="shared" si="29"/>
        <v>1.382711179695312</v>
      </c>
      <c r="AU8" s="68">
        <f t="shared" si="34"/>
        <v>1.3845301385096267</v>
      </c>
      <c r="AV8" s="69">
        <f t="shared" si="35"/>
        <v>13.198168677804237</v>
      </c>
    </row>
    <row r="9" spans="1:48">
      <c r="A9" s="104">
        <v>7</v>
      </c>
      <c r="B9" s="36" t="s">
        <v>265</v>
      </c>
      <c r="C9" s="40">
        <v>0.44799999999999995</v>
      </c>
      <c r="D9" s="54">
        <f t="shared" si="0"/>
        <v>0</v>
      </c>
      <c r="E9" s="54">
        <f t="shared" si="1"/>
        <v>6.8583885932608279E-2</v>
      </c>
      <c r="F9" s="55">
        <f t="shared" si="2"/>
        <v>0.90380829107888716</v>
      </c>
      <c r="G9" s="42">
        <f>152163.22/1960988</f>
        <v>7.7595181612534092E-2</v>
      </c>
      <c r="H9" s="57">
        <f t="shared" si="3"/>
        <v>0</v>
      </c>
      <c r="I9" s="57">
        <f t="shared" si="4"/>
        <v>1.6266285261024346E-2</v>
      </c>
      <c r="J9" s="55">
        <f t="shared" si="5"/>
        <v>1.326151800269916</v>
      </c>
      <c r="K9" s="57">
        <f t="shared" si="30"/>
        <v>2.2299600913488034</v>
      </c>
      <c r="L9" s="40">
        <v>6.7314045703702519</v>
      </c>
      <c r="M9" s="60">
        <f t="shared" si="6"/>
        <v>0</v>
      </c>
      <c r="N9" s="60">
        <f t="shared" si="7"/>
        <v>2.7990236957423127</v>
      </c>
      <c r="O9" s="55">
        <f t="shared" si="8"/>
        <v>3.5589427690001432</v>
      </c>
      <c r="P9" s="40">
        <v>0.297010969159892</v>
      </c>
      <c r="Q9" s="60">
        <f t="shared" si="9"/>
        <v>0</v>
      </c>
      <c r="R9" s="60">
        <f t="shared" si="10"/>
        <v>0.13221541008253906</v>
      </c>
      <c r="S9" s="55">
        <f t="shared" si="11"/>
        <v>4.0114979682334413</v>
      </c>
      <c r="T9" s="62">
        <f t="shared" si="31"/>
        <v>7.570440737233584</v>
      </c>
      <c r="U9" s="40">
        <v>0</v>
      </c>
      <c r="V9" s="63">
        <f t="shared" si="12"/>
        <v>0.14819945194431228</v>
      </c>
      <c r="W9" s="63">
        <f t="shared" si="13"/>
        <v>0</v>
      </c>
      <c r="X9" s="64">
        <f t="shared" si="14"/>
        <v>4.9999999999999991</v>
      </c>
      <c r="Y9" s="42">
        <v>0.44354340598724723</v>
      </c>
      <c r="Z9" s="60">
        <f t="shared" si="15"/>
        <v>0.50001604336437611</v>
      </c>
      <c r="AA9" s="60">
        <f t="shared" si="16"/>
        <v>0</v>
      </c>
      <c r="AB9" s="55">
        <f t="shared" si="17"/>
        <v>2.6496266012065659</v>
      </c>
      <c r="AC9" s="66">
        <f t="shared" si="32"/>
        <v>7.649626601206565</v>
      </c>
      <c r="AD9" s="43">
        <v>14.712815824527535</v>
      </c>
      <c r="AE9" s="60">
        <f t="shared" si="18"/>
        <v>0</v>
      </c>
      <c r="AF9" s="60">
        <f t="shared" si="19"/>
        <v>4.204091575537916E-2</v>
      </c>
      <c r="AG9" s="55">
        <f t="shared" si="20"/>
        <v>2.8656233918660607E-5</v>
      </c>
      <c r="AH9" s="40">
        <v>0.92444072096321528</v>
      </c>
      <c r="AI9" s="60">
        <f t="shared" si="21"/>
        <v>0</v>
      </c>
      <c r="AJ9" s="60">
        <f t="shared" si="22"/>
        <v>5.8453039719877031E-2</v>
      </c>
      <c r="AK9" s="55">
        <f t="shared" si="23"/>
        <v>6.7498696558770119E-4</v>
      </c>
      <c r="AL9" s="62">
        <f t="shared" si="33"/>
        <v>7.0364319950636184E-4</v>
      </c>
      <c r="AM9" s="44">
        <v>96.687786404036558</v>
      </c>
      <c r="AN9" s="60">
        <f t="shared" si="24"/>
        <v>13.312213595963442</v>
      </c>
      <c r="AO9" s="60">
        <f t="shared" si="25"/>
        <v>0</v>
      </c>
      <c r="AP9" s="55">
        <f t="shared" si="26"/>
        <v>0.60510061799833825</v>
      </c>
      <c r="AQ9" s="42">
        <v>0.88598937390329613</v>
      </c>
      <c r="AR9" s="60">
        <f t="shared" si="27"/>
        <v>0.60714905331855962</v>
      </c>
      <c r="AS9" s="60">
        <f t="shared" si="28"/>
        <v>0</v>
      </c>
      <c r="AT9" s="55">
        <f t="shared" si="29"/>
        <v>2.0331304929584642</v>
      </c>
      <c r="AU9" s="68">
        <f t="shared" si="34"/>
        <v>2.6382311109568022</v>
      </c>
      <c r="AV9" s="69">
        <f t="shared" si="35"/>
        <v>20.088962183945263</v>
      </c>
    </row>
    <row r="10" spans="1:48">
      <c r="A10" s="104">
        <v>8</v>
      </c>
      <c r="B10" s="36" t="s">
        <v>253</v>
      </c>
      <c r="C10" s="40">
        <v>0.39740000000000003</v>
      </c>
      <c r="D10" s="54">
        <f t="shared" si="0"/>
        <v>0</v>
      </c>
      <c r="E10" s="54">
        <f t="shared" si="1"/>
        <v>1.7983885932608357E-2</v>
      </c>
      <c r="F10" s="55">
        <f t="shared" si="2"/>
        <v>0.23699422963113881</v>
      </c>
      <c r="G10" s="42">
        <f>251928.45/2659809</f>
        <v>9.47167446985855E-2</v>
      </c>
      <c r="H10" s="57">
        <f t="shared" si="3"/>
        <v>0</v>
      </c>
      <c r="I10" s="57">
        <f t="shared" si="4"/>
        <v>3.3387848347075755E-2</v>
      </c>
      <c r="J10" s="55">
        <f t="shared" si="5"/>
        <v>2.7220323806017617</v>
      </c>
      <c r="K10" s="57">
        <f t="shared" si="30"/>
        <v>2.9590266102329004</v>
      </c>
      <c r="L10" s="40">
        <v>3.3621914181822268</v>
      </c>
      <c r="M10" s="60">
        <f t="shared" si="6"/>
        <v>0.57018945644571239</v>
      </c>
      <c r="N10" s="60">
        <f t="shared" si="7"/>
        <v>0</v>
      </c>
      <c r="O10" s="55">
        <f t="shared" si="8"/>
        <v>1.4499853260009068E-3</v>
      </c>
      <c r="P10" s="40">
        <v>0.12332002497185622</v>
      </c>
      <c r="Q10" s="60">
        <f t="shared" si="9"/>
        <v>4.1475534105496717E-2</v>
      </c>
      <c r="R10" s="60">
        <f t="shared" si="10"/>
        <v>0</v>
      </c>
      <c r="S10" s="55">
        <f t="shared" si="11"/>
        <v>2.5167871232518245E-3</v>
      </c>
      <c r="T10" s="62">
        <f t="shared" si="31"/>
        <v>3.9667724492527309E-3</v>
      </c>
      <c r="U10" s="40">
        <v>0.10111739436024302</v>
      </c>
      <c r="V10" s="63">
        <f t="shared" si="12"/>
        <v>4.7082057584069262E-2</v>
      </c>
      <c r="W10" s="63">
        <f t="shared" si="13"/>
        <v>0</v>
      </c>
      <c r="X10" s="64">
        <f t="shared" si="14"/>
        <v>1.5884693555331402</v>
      </c>
      <c r="Y10" s="42">
        <v>0.83541289725823176</v>
      </c>
      <c r="Z10" s="60">
        <f t="shared" si="15"/>
        <v>0.10814655209339152</v>
      </c>
      <c r="AA10" s="60">
        <f t="shared" si="16"/>
        <v>0</v>
      </c>
      <c r="AB10" s="55">
        <f t="shared" si="17"/>
        <v>0.57307757432616224</v>
      </c>
      <c r="AC10" s="66">
        <f t="shared" si="32"/>
        <v>2.1615469298593024</v>
      </c>
      <c r="AD10" s="43">
        <v>11.669919228754642</v>
      </c>
      <c r="AE10" s="60">
        <f t="shared" si="18"/>
        <v>3.0008556800175139</v>
      </c>
      <c r="AF10" s="60">
        <f t="shared" si="19"/>
        <v>0</v>
      </c>
      <c r="AG10" s="55">
        <f t="shared" si="20"/>
        <v>1.0227325068641058</v>
      </c>
      <c r="AH10" s="40">
        <v>0.43532089583891359</v>
      </c>
      <c r="AI10" s="60">
        <f t="shared" si="21"/>
        <v>0.43066678540442466</v>
      </c>
      <c r="AJ10" s="60">
        <f t="shared" si="22"/>
        <v>0</v>
      </c>
      <c r="AK10" s="55">
        <f t="shared" si="23"/>
        <v>2.486564155197315</v>
      </c>
      <c r="AL10" s="62">
        <f t="shared" si="33"/>
        <v>3.5092966620614208</v>
      </c>
      <c r="AM10" s="44">
        <v>184.37146278404322</v>
      </c>
      <c r="AN10" s="60">
        <f t="shared" si="24"/>
        <v>0</v>
      </c>
      <c r="AO10" s="60">
        <f t="shared" si="25"/>
        <v>74.371462784043217</v>
      </c>
      <c r="AP10" s="55">
        <f t="shared" si="26"/>
        <v>6.7610420712766557E-3</v>
      </c>
      <c r="AQ10" s="42">
        <v>0.8031985530164133</v>
      </c>
      <c r="AR10" s="60">
        <f t="shared" si="27"/>
        <v>0.68993987420544245</v>
      </c>
      <c r="AS10" s="60">
        <f t="shared" si="28"/>
        <v>0</v>
      </c>
      <c r="AT10" s="55">
        <f t="shared" si="29"/>
        <v>2.3103680865314997</v>
      </c>
      <c r="AU10" s="68">
        <f t="shared" si="34"/>
        <v>2.3171291286027764</v>
      </c>
      <c r="AV10" s="69">
        <f t="shared" si="35"/>
        <v>10.950966103205651</v>
      </c>
    </row>
    <row r="11" spans="1:48">
      <c r="A11" s="104">
        <v>9</v>
      </c>
      <c r="B11" s="36" t="s">
        <v>233</v>
      </c>
      <c r="C11" s="40">
        <v>0.30549999999999999</v>
      </c>
      <c r="D11" s="54">
        <f t="shared" si="0"/>
        <v>7.3916114067391681E-2</v>
      </c>
      <c r="E11" s="54">
        <f t="shared" si="1"/>
        <v>0</v>
      </c>
      <c r="F11" s="55">
        <f t="shared" si="2"/>
        <v>1.9481543173008918E-3</v>
      </c>
      <c r="G11" s="42">
        <f>1856211/13112006</f>
        <v>0.14156575279175437</v>
      </c>
      <c r="H11" s="57">
        <f t="shared" si="3"/>
        <v>0</v>
      </c>
      <c r="I11" s="57">
        <f t="shared" si="4"/>
        <v>8.0236856440244628E-2</v>
      </c>
      <c r="J11" s="55">
        <f t="shared" si="5"/>
        <v>6.5415213067232552</v>
      </c>
      <c r="K11" s="57">
        <f t="shared" si="30"/>
        <v>6.5434694610405559</v>
      </c>
      <c r="L11" s="40">
        <v>4.2465872573841317</v>
      </c>
      <c r="M11" s="60">
        <f t="shared" si="6"/>
        <v>0</v>
      </c>
      <c r="N11" s="60">
        <f t="shared" si="7"/>
        <v>0.3142063827561925</v>
      </c>
      <c r="O11" s="55">
        <f t="shared" si="8"/>
        <v>0.39951163528370204</v>
      </c>
      <c r="P11" s="40">
        <v>0.16036986219878954</v>
      </c>
      <c r="Q11" s="60">
        <f t="shared" si="9"/>
        <v>4.4256968785633954E-3</v>
      </c>
      <c r="R11" s="60">
        <f t="shared" si="10"/>
        <v>0</v>
      </c>
      <c r="S11" s="55">
        <f t="shared" si="11"/>
        <v>2.68556804767174E-4</v>
      </c>
      <c r="T11" s="62">
        <f t="shared" si="31"/>
        <v>0.39978019208846921</v>
      </c>
      <c r="U11" s="40">
        <v>0.10990417533379396</v>
      </c>
      <c r="V11" s="63">
        <f t="shared" si="12"/>
        <v>3.829527661051832E-2</v>
      </c>
      <c r="W11" s="63">
        <f t="shared" si="13"/>
        <v>0</v>
      </c>
      <c r="X11" s="64">
        <f t="shared" si="14"/>
        <v>1.2920181589102038</v>
      </c>
      <c r="Y11" s="42">
        <v>0.92438028550925655</v>
      </c>
      <c r="Z11" s="60">
        <f t="shared" si="15"/>
        <v>1.9179163842366731E-2</v>
      </c>
      <c r="AA11" s="60">
        <f t="shared" si="16"/>
        <v>0</v>
      </c>
      <c r="AB11" s="55">
        <f t="shared" si="17"/>
        <v>0.1016319843733529</v>
      </c>
      <c r="AC11" s="66">
        <f t="shared" si="32"/>
        <v>1.3936501432835566</v>
      </c>
      <c r="AD11" s="43">
        <v>5.4332248022791338</v>
      </c>
      <c r="AE11" s="60">
        <f t="shared" si="18"/>
        <v>9.2375501064930212</v>
      </c>
      <c r="AF11" s="60">
        <f t="shared" si="19"/>
        <v>0</v>
      </c>
      <c r="AG11" s="55">
        <f t="shared" si="20"/>
        <v>3.1482829516284019</v>
      </c>
      <c r="AH11" s="40">
        <v>0.21753681466246183</v>
      </c>
      <c r="AI11" s="60">
        <f t="shared" si="21"/>
        <v>0.64845086658087636</v>
      </c>
      <c r="AJ11" s="60">
        <f t="shared" si="22"/>
        <v>0</v>
      </c>
      <c r="AK11" s="55">
        <f t="shared" si="23"/>
        <v>3.7439959056338172</v>
      </c>
      <c r="AL11" s="62">
        <f t="shared" si="33"/>
        <v>6.8922788572622196</v>
      </c>
      <c r="AM11" s="44">
        <v>203.55314953425986</v>
      </c>
      <c r="AN11" s="60">
        <f t="shared" si="24"/>
        <v>0</v>
      </c>
      <c r="AO11" s="60">
        <f t="shared" si="25"/>
        <v>93.553149534259859</v>
      </c>
      <c r="AP11" s="55">
        <f t="shared" si="26"/>
        <v>8.5048317758418049E-3</v>
      </c>
      <c r="AQ11" s="42">
        <v>1.0062581575482614</v>
      </c>
      <c r="AR11" s="60">
        <f t="shared" si="27"/>
        <v>0.48688026967359432</v>
      </c>
      <c r="AS11" s="60">
        <f t="shared" si="28"/>
        <v>0</v>
      </c>
      <c r="AT11" s="55">
        <f t="shared" si="29"/>
        <v>1.6303922690526667</v>
      </c>
      <c r="AU11" s="68">
        <f t="shared" si="34"/>
        <v>1.6388971008285085</v>
      </c>
      <c r="AV11" s="69">
        <f t="shared" si="35"/>
        <v>16.868075754503309</v>
      </c>
    </row>
    <row r="12" spans="1:48">
      <c r="A12" s="104">
        <v>10</v>
      </c>
      <c r="B12" s="36" t="s">
        <v>261</v>
      </c>
      <c r="C12" s="40">
        <v>0.3301</v>
      </c>
      <c r="D12" s="54">
        <f t="shared" si="0"/>
        <v>4.931611406739167E-2</v>
      </c>
      <c r="E12" s="54">
        <f t="shared" si="1"/>
        <v>0</v>
      </c>
      <c r="F12" s="55">
        <f t="shared" si="2"/>
        <v>1.2997896567627637E-3</v>
      </c>
      <c r="G12" s="42">
        <f>252332.98/2369378</f>
        <v>0.10649756180736042</v>
      </c>
      <c r="H12" s="57">
        <f t="shared" si="3"/>
        <v>0</v>
      </c>
      <c r="I12" s="57">
        <f t="shared" si="4"/>
        <v>4.5168665455850673E-2</v>
      </c>
      <c r="J12" s="55">
        <f t="shared" si="5"/>
        <v>3.6824945615329621</v>
      </c>
      <c r="K12" s="57">
        <f t="shared" si="30"/>
        <v>3.6837943511897246</v>
      </c>
      <c r="L12" s="40">
        <v>3.1261794484129659</v>
      </c>
      <c r="M12" s="60">
        <f t="shared" si="6"/>
        <v>0.80620142621497326</v>
      </c>
      <c r="N12" s="60">
        <f t="shared" si="7"/>
        <v>0</v>
      </c>
      <c r="O12" s="55">
        <f t="shared" si="8"/>
        <v>2.0501610904901262E-3</v>
      </c>
      <c r="P12" s="40">
        <v>9.7735662039413432E-2</v>
      </c>
      <c r="Q12" s="60">
        <f t="shared" si="9"/>
        <v>6.7059897037939506E-2</v>
      </c>
      <c r="R12" s="60">
        <f t="shared" si="10"/>
        <v>0</v>
      </c>
      <c r="S12" s="55">
        <f t="shared" si="11"/>
        <v>4.0692781658310615E-3</v>
      </c>
      <c r="T12" s="62">
        <f t="shared" si="31"/>
        <v>6.1194392563211873E-3</v>
      </c>
      <c r="U12" s="40">
        <v>0.11314993247245862</v>
      </c>
      <c r="V12" s="63">
        <f t="shared" si="12"/>
        <v>3.5049519471853655E-2</v>
      </c>
      <c r="W12" s="63">
        <f t="shared" si="13"/>
        <v>0</v>
      </c>
      <c r="X12" s="64">
        <f t="shared" si="14"/>
        <v>1.1825117776084599</v>
      </c>
      <c r="Y12" s="42">
        <v>0.53249070455961667</v>
      </c>
      <c r="Z12" s="60">
        <f t="shared" si="15"/>
        <v>0.41106874479200661</v>
      </c>
      <c r="AA12" s="60">
        <f t="shared" si="16"/>
        <v>0</v>
      </c>
      <c r="AB12" s="55">
        <f t="shared" si="17"/>
        <v>2.1782874681318529</v>
      </c>
      <c r="AC12" s="66">
        <f t="shared" si="32"/>
        <v>3.3607992457403126</v>
      </c>
      <c r="AD12" s="43">
        <v>5.9252243660416823</v>
      </c>
      <c r="AE12" s="60">
        <f t="shared" si="18"/>
        <v>8.7455505427304736</v>
      </c>
      <c r="AF12" s="60">
        <f t="shared" si="19"/>
        <v>0</v>
      </c>
      <c r="AG12" s="55">
        <f t="shared" si="20"/>
        <v>2.980602796073577</v>
      </c>
      <c r="AH12" s="40">
        <v>0.34378704434329077</v>
      </c>
      <c r="AI12" s="60">
        <f t="shared" si="21"/>
        <v>0.52220063690004748</v>
      </c>
      <c r="AJ12" s="60">
        <f t="shared" si="22"/>
        <v>0</v>
      </c>
      <c r="AK12" s="55">
        <f t="shared" si="23"/>
        <v>3.0150581134728154</v>
      </c>
      <c r="AL12" s="62">
        <f t="shared" si="33"/>
        <v>5.9956609095463929</v>
      </c>
      <c r="AM12" s="44">
        <v>246.67982649604323</v>
      </c>
      <c r="AN12" s="60">
        <f t="shared" si="24"/>
        <v>0</v>
      </c>
      <c r="AO12" s="60">
        <f t="shared" si="25"/>
        <v>136.67982649604323</v>
      </c>
      <c r="AP12" s="55">
        <f t="shared" si="26"/>
        <v>1.2425438772367566E-2</v>
      </c>
      <c r="AQ12" s="42">
        <v>0.78526751072427936</v>
      </c>
      <c r="AR12" s="60">
        <f t="shared" si="27"/>
        <v>0.70787091649757639</v>
      </c>
      <c r="AS12" s="60">
        <f t="shared" si="28"/>
        <v>0</v>
      </c>
      <c r="AT12" s="55">
        <f t="shared" si="29"/>
        <v>2.3704128953892307</v>
      </c>
      <c r="AU12" s="68">
        <f t="shared" si="34"/>
        <v>2.3828383341615984</v>
      </c>
      <c r="AV12" s="69">
        <f t="shared" si="35"/>
        <v>15.429212279894349</v>
      </c>
    </row>
    <row r="13" spans="1:48">
      <c r="A13" s="104">
        <v>11</v>
      </c>
      <c r="B13" s="36" t="s">
        <v>378</v>
      </c>
      <c r="C13" s="40">
        <v>0.51890000000000003</v>
      </c>
      <c r="D13" s="54">
        <f t="shared" si="0"/>
        <v>0</v>
      </c>
      <c r="E13" s="54">
        <f t="shared" si="1"/>
        <v>0.13948388593260835</v>
      </c>
      <c r="F13" s="55">
        <f t="shared" si="2"/>
        <v>1.8381386657161496</v>
      </c>
      <c r="G13" s="42">
        <f>590550.13/7231208</f>
        <v>8.1666870874133338E-2</v>
      </c>
      <c r="H13" s="57">
        <f t="shared" si="3"/>
        <v>0</v>
      </c>
      <c r="I13" s="57">
        <f t="shared" si="4"/>
        <v>2.0337974522623592E-2</v>
      </c>
      <c r="J13" s="55">
        <f t="shared" si="5"/>
        <v>1.6581070044090991</v>
      </c>
      <c r="K13" s="57">
        <f t="shared" si="30"/>
        <v>3.4962456701252487</v>
      </c>
      <c r="L13" s="40">
        <v>4.0742560457716888</v>
      </c>
      <c r="M13" s="60">
        <f t="shared" si="6"/>
        <v>0</v>
      </c>
      <c r="N13" s="60">
        <f t="shared" si="7"/>
        <v>0.14187517114374959</v>
      </c>
      <c r="O13" s="55">
        <f t="shared" si="8"/>
        <v>0.18039347620056392</v>
      </c>
      <c r="P13" s="40">
        <v>0.22520663896086041</v>
      </c>
      <c r="Q13" s="60">
        <f t="shared" si="9"/>
        <v>0</v>
      </c>
      <c r="R13" s="60">
        <f t="shared" si="10"/>
        <v>6.0411079883507468E-2</v>
      </c>
      <c r="S13" s="55">
        <f t="shared" si="11"/>
        <v>1.8329098254143874</v>
      </c>
      <c r="T13" s="62">
        <f t="shared" si="31"/>
        <v>2.0133033016149513</v>
      </c>
      <c r="U13" s="40">
        <v>8.3056501469809751E-2</v>
      </c>
      <c r="V13" s="63">
        <f t="shared" si="12"/>
        <v>6.5142950474502526E-2</v>
      </c>
      <c r="W13" s="63">
        <f t="shared" si="13"/>
        <v>0</v>
      </c>
      <c r="X13" s="64">
        <f t="shared" si="14"/>
        <v>2.1978134743366247</v>
      </c>
      <c r="Y13" s="42">
        <v>0.52003680020632059</v>
      </c>
      <c r="Z13" s="60">
        <f t="shared" si="15"/>
        <v>0.42352264914530269</v>
      </c>
      <c r="AA13" s="60">
        <f t="shared" si="16"/>
        <v>0</v>
      </c>
      <c r="AB13" s="55">
        <f t="shared" si="17"/>
        <v>2.2442817431182034</v>
      </c>
      <c r="AC13" s="66">
        <f t="shared" si="32"/>
        <v>4.4420952174548276</v>
      </c>
      <c r="AD13" s="43">
        <v>8.2900408297391213</v>
      </c>
      <c r="AE13" s="60">
        <f t="shared" si="18"/>
        <v>6.3807340790330347</v>
      </c>
      <c r="AF13" s="60">
        <f t="shared" si="19"/>
        <v>0</v>
      </c>
      <c r="AG13" s="55">
        <f t="shared" si="20"/>
        <v>2.1746411211100294</v>
      </c>
      <c r="AH13" s="40">
        <v>0.39184842887183274</v>
      </c>
      <c r="AI13" s="60">
        <f t="shared" si="21"/>
        <v>0.4741392523715055</v>
      </c>
      <c r="AJ13" s="60">
        <f t="shared" si="22"/>
        <v>0</v>
      </c>
      <c r="AK13" s="55">
        <f t="shared" si="23"/>
        <v>2.7375634933441662</v>
      </c>
      <c r="AL13" s="62">
        <f t="shared" si="33"/>
        <v>4.9122046144541951</v>
      </c>
      <c r="AM13" s="44">
        <v>134.49275149166539</v>
      </c>
      <c r="AN13" s="60">
        <f t="shared" si="24"/>
        <v>0</v>
      </c>
      <c r="AO13" s="60">
        <f t="shared" si="25"/>
        <v>24.492751491665388</v>
      </c>
      <c r="AP13" s="55">
        <f t="shared" si="26"/>
        <v>2.2266137719695808E-3</v>
      </c>
      <c r="AQ13" s="42">
        <v>0.83646358798887954</v>
      </c>
      <c r="AR13" s="60">
        <f t="shared" si="27"/>
        <v>0.6566748392329762</v>
      </c>
      <c r="AS13" s="60">
        <f t="shared" si="28"/>
        <v>0</v>
      </c>
      <c r="AT13" s="55">
        <f t="shared" si="29"/>
        <v>2.1989750824871277</v>
      </c>
      <c r="AU13" s="68">
        <f t="shared" si="34"/>
        <v>2.2012016962590972</v>
      </c>
      <c r="AV13" s="69">
        <f t="shared" si="35"/>
        <v>17.065050499908324</v>
      </c>
    </row>
    <row r="14" spans="1:48">
      <c r="A14" s="104">
        <v>12</v>
      </c>
      <c r="B14" s="36" t="s">
        <v>379</v>
      </c>
      <c r="C14" s="40">
        <v>0.33640000000000003</v>
      </c>
      <c r="D14" s="54">
        <f t="shared" si="0"/>
        <v>4.3016114067391642E-2</v>
      </c>
      <c r="E14" s="54">
        <f t="shared" si="1"/>
        <v>0</v>
      </c>
      <c r="F14" s="55">
        <f t="shared" si="2"/>
        <v>1.1337450485761694E-3</v>
      </c>
      <c r="G14" s="42">
        <f>956332.77/12438532</f>
        <v>7.6884697486809539E-2</v>
      </c>
      <c r="H14" s="57">
        <f t="shared" si="3"/>
        <v>0</v>
      </c>
      <c r="I14" s="57">
        <f t="shared" si="4"/>
        <v>1.5555801135299793E-2</v>
      </c>
      <c r="J14" s="55">
        <f t="shared" si="5"/>
        <v>1.2682277083661275</v>
      </c>
      <c r="K14" s="57">
        <f t="shared" si="30"/>
        <v>1.2693614534147037</v>
      </c>
      <c r="L14" s="40">
        <v>4.5393513507300609</v>
      </c>
      <c r="M14" s="60">
        <f t="shared" si="6"/>
        <v>0</v>
      </c>
      <c r="N14" s="60">
        <f t="shared" si="7"/>
        <v>0.60697047610212174</v>
      </c>
      <c r="O14" s="55">
        <f t="shared" si="8"/>
        <v>0.77175952108091517</v>
      </c>
      <c r="P14" s="40">
        <v>0.16462746827228128</v>
      </c>
      <c r="Q14" s="60">
        <f t="shared" si="9"/>
        <v>1.6809080507165786E-4</v>
      </c>
      <c r="R14" s="60">
        <f t="shared" si="10"/>
        <v>0</v>
      </c>
      <c r="S14" s="55">
        <f t="shared" si="11"/>
        <v>1.019995963560876E-5</v>
      </c>
      <c r="T14" s="62">
        <f t="shared" si="31"/>
        <v>0.77176972104055075</v>
      </c>
      <c r="U14" s="40">
        <v>8.1567045227977919E-2</v>
      </c>
      <c r="V14" s="63">
        <f t="shared" si="12"/>
        <v>6.6632406716334358E-2</v>
      </c>
      <c r="W14" s="63">
        <f t="shared" si="13"/>
        <v>0</v>
      </c>
      <c r="X14" s="64">
        <f t="shared" si="14"/>
        <v>2.2480652202874638</v>
      </c>
      <c r="Y14" s="42">
        <v>0.71861046119980365</v>
      </c>
      <c r="Z14" s="60">
        <f t="shared" si="15"/>
        <v>0.22494898815181963</v>
      </c>
      <c r="AA14" s="60">
        <f t="shared" si="16"/>
        <v>0</v>
      </c>
      <c r="AB14" s="55">
        <f t="shared" si="17"/>
        <v>1.1920233977116952</v>
      </c>
      <c r="AC14" s="66">
        <f t="shared" si="32"/>
        <v>3.4400886179991588</v>
      </c>
      <c r="AD14" s="43">
        <v>11.095577244000669</v>
      </c>
      <c r="AE14" s="60">
        <f t="shared" si="18"/>
        <v>3.5751976647714869</v>
      </c>
      <c r="AF14" s="60">
        <f t="shared" si="19"/>
        <v>0</v>
      </c>
      <c r="AG14" s="55">
        <f t="shared" si="20"/>
        <v>1.2184760815305518</v>
      </c>
      <c r="AH14" s="40">
        <v>0.37118630242865419</v>
      </c>
      <c r="AI14" s="60">
        <f t="shared" si="21"/>
        <v>0.49480137881468406</v>
      </c>
      <c r="AJ14" s="60">
        <f t="shared" si="22"/>
        <v>0</v>
      </c>
      <c r="AK14" s="55">
        <f t="shared" si="23"/>
        <v>2.8568615323965982</v>
      </c>
      <c r="AL14" s="62">
        <f t="shared" si="33"/>
        <v>4.0753376139271502</v>
      </c>
      <c r="AM14" s="44">
        <v>151.92449314981047</v>
      </c>
      <c r="AN14" s="60">
        <f t="shared" si="24"/>
        <v>0</v>
      </c>
      <c r="AO14" s="60">
        <f t="shared" si="25"/>
        <v>41.924493149810473</v>
      </c>
      <c r="AP14" s="55">
        <f t="shared" si="26"/>
        <v>3.8113175590736795E-3</v>
      </c>
      <c r="AQ14" s="42">
        <v>0.53838079925221871</v>
      </c>
      <c r="AR14" s="60">
        <f t="shared" si="27"/>
        <v>0.95475762796963703</v>
      </c>
      <c r="AS14" s="60">
        <f t="shared" si="28"/>
        <v>0</v>
      </c>
      <c r="AT14" s="55">
        <f t="shared" si="29"/>
        <v>3.1971504133949118</v>
      </c>
      <c r="AU14" s="68">
        <f t="shared" si="34"/>
        <v>3.2009617309539853</v>
      </c>
      <c r="AV14" s="69">
        <f t="shared" si="35"/>
        <v>12.757519137335549</v>
      </c>
    </row>
    <row r="15" spans="1:48">
      <c r="A15" s="104">
        <v>13</v>
      </c>
      <c r="B15" s="36" t="s">
        <v>380</v>
      </c>
      <c r="C15" s="40">
        <v>0.31469999999999998</v>
      </c>
      <c r="D15" s="54">
        <f t="shared" si="0"/>
        <v>6.4716114067391695E-2</v>
      </c>
      <c r="E15" s="54">
        <f t="shared" si="1"/>
        <v>0</v>
      </c>
      <c r="F15" s="55">
        <f t="shared" si="2"/>
        <v>1.705676476774438E-3</v>
      </c>
      <c r="G15" s="42">
        <f>521657/6196640</f>
        <v>8.4183848020862914E-2</v>
      </c>
      <c r="H15" s="57">
        <f t="shared" si="3"/>
        <v>0</v>
      </c>
      <c r="I15" s="57">
        <f t="shared" si="4"/>
        <v>2.2854951669353168E-2</v>
      </c>
      <c r="J15" s="55">
        <f t="shared" si="5"/>
        <v>1.8633102035913729</v>
      </c>
      <c r="K15" s="57">
        <f t="shared" si="30"/>
        <v>1.8650158800681473</v>
      </c>
      <c r="L15" s="40">
        <v>4.8249909052882662</v>
      </c>
      <c r="M15" s="60">
        <f t="shared" si="6"/>
        <v>0</v>
      </c>
      <c r="N15" s="60">
        <f t="shared" si="7"/>
        <v>0.89261003066032707</v>
      </c>
      <c r="O15" s="55">
        <f t="shared" si="8"/>
        <v>1.1349485961793833</v>
      </c>
      <c r="P15" s="40">
        <v>0.17070867966478537</v>
      </c>
      <c r="Q15" s="60">
        <f t="shared" si="9"/>
        <v>0</v>
      </c>
      <c r="R15" s="60">
        <f t="shared" si="10"/>
        <v>5.91312058743243E-3</v>
      </c>
      <c r="S15" s="55">
        <f t="shared" si="11"/>
        <v>0.17940776500709241</v>
      </c>
      <c r="T15" s="62">
        <f t="shared" si="31"/>
        <v>1.3143563611864757</v>
      </c>
      <c r="U15" s="40">
        <v>0.20805017309953533</v>
      </c>
      <c r="V15" s="63">
        <f t="shared" si="12"/>
        <v>0</v>
      </c>
      <c r="W15" s="63">
        <f t="shared" si="13"/>
        <v>5.9850721155223052E-2</v>
      </c>
      <c r="X15" s="64">
        <f t="shared" si="14"/>
        <v>4.0385251342031064E-3</v>
      </c>
      <c r="Y15" s="42">
        <v>1.5001106825079527</v>
      </c>
      <c r="Z15" s="60">
        <f t="shared" si="15"/>
        <v>0</v>
      </c>
      <c r="AA15" s="60">
        <f t="shared" si="16"/>
        <v>0.55655123315632937</v>
      </c>
      <c r="AB15" s="55">
        <f t="shared" si="17"/>
        <v>5.8984225481369442E-3</v>
      </c>
      <c r="AC15" s="66">
        <f t="shared" si="32"/>
        <v>9.9369476823400506E-3</v>
      </c>
      <c r="AD15" s="43">
        <v>17.12764940435623</v>
      </c>
      <c r="AE15" s="60">
        <f t="shared" si="18"/>
        <v>0</v>
      </c>
      <c r="AF15" s="60">
        <f t="shared" si="19"/>
        <v>2.4568744955840742</v>
      </c>
      <c r="AG15" s="55">
        <f t="shared" si="20"/>
        <v>1.6746726133157598E-3</v>
      </c>
      <c r="AH15" s="40">
        <v>0.45795778405882648</v>
      </c>
      <c r="AI15" s="60">
        <f t="shared" si="21"/>
        <v>0.40802989718451177</v>
      </c>
      <c r="AJ15" s="60">
        <f t="shared" si="22"/>
        <v>0</v>
      </c>
      <c r="AK15" s="55">
        <f t="shared" si="23"/>
        <v>2.3558643270692055</v>
      </c>
      <c r="AL15" s="62">
        <f t="shared" si="33"/>
        <v>2.3575389996825211</v>
      </c>
      <c r="AM15" s="44">
        <v>135.74787768396968</v>
      </c>
      <c r="AN15" s="60">
        <f t="shared" si="24"/>
        <v>0</v>
      </c>
      <c r="AO15" s="60">
        <f t="shared" si="25"/>
        <v>25.747877683969676</v>
      </c>
      <c r="AP15" s="55">
        <f t="shared" si="26"/>
        <v>2.3407161530881525E-3</v>
      </c>
      <c r="AQ15" s="42">
        <v>0.91106168353121775</v>
      </c>
      <c r="AR15" s="60">
        <f t="shared" si="27"/>
        <v>0.582076743690638</v>
      </c>
      <c r="AS15" s="60">
        <f t="shared" si="28"/>
        <v>0</v>
      </c>
      <c r="AT15" s="55">
        <f t="shared" si="29"/>
        <v>1.9491720696441193</v>
      </c>
      <c r="AU15" s="68">
        <f t="shared" si="34"/>
        <v>1.9515127857972074</v>
      </c>
      <c r="AV15" s="69">
        <f t="shared" si="35"/>
        <v>7.4983609744166912</v>
      </c>
    </row>
    <row r="16" spans="1:48">
      <c r="A16" s="104">
        <v>14</v>
      </c>
      <c r="B16" s="36" t="s">
        <v>381</v>
      </c>
      <c r="C16" s="40">
        <v>0.45899999999999996</v>
      </c>
      <c r="D16" s="54">
        <f t="shared" si="0"/>
        <v>0</v>
      </c>
      <c r="E16" s="54">
        <f t="shared" si="1"/>
        <v>7.9583885932608289E-2</v>
      </c>
      <c r="F16" s="55">
        <f t="shared" si="2"/>
        <v>1.0487678696544849</v>
      </c>
      <c r="G16" s="42">
        <f>154771/3938416</f>
        <v>3.9297778599315054E-2</v>
      </c>
      <c r="H16" s="57">
        <f t="shared" si="3"/>
        <v>2.2031117752194691E-2</v>
      </c>
      <c r="I16" s="57">
        <f t="shared" si="4"/>
        <v>0</v>
      </c>
      <c r="J16" s="55">
        <f t="shared" si="5"/>
        <v>3.5922899420726892E-3</v>
      </c>
      <c r="K16" s="57">
        <f t="shared" si="30"/>
        <v>1.0523601595965575</v>
      </c>
      <c r="L16" s="40">
        <v>3.6813309241085674</v>
      </c>
      <c r="M16" s="60">
        <f t="shared" si="6"/>
        <v>0.25104995051937173</v>
      </c>
      <c r="N16" s="60">
        <f t="shared" si="7"/>
        <v>0</v>
      </c>
      <c r="O16" s="55">
        <f t="shared" si="8"/>
        <v>6.3841717911702726E-4</v>
      </c>
      <c r="P16" s="40">
        <v>0.26901212430492211</v>
      </c>
      <c r="Q16" s="60">
        <f t="shared" si="9"/>
        <v>0</v>
      </c>
      <c r="R16" s="60">
        <f t="shared" si="10"/>
        <v>0.10421656522756917</v>
      </c>
      <c r="S16" s="55">
        <f t="shared" si="11"/>
        <v>3.1619955601671053</v>
      </c>
      <c r="T16" s="62">
        <f t="shared" si="31"/>
        <v>3.1626339773462222</v>
      </c>
      <c r="U16" s="40">
        <v>0.23155630273226621</v>
      </c>
      <c r="V16" s="63">
        <f t="shared" si="12"/>
        <v>0</v>
      </c>
      <c r="W16" s="63">
        <f t="shared" si="13"/>
        <v>8.3356850787953934E-2</v>
      </c>
      <c r="X16" s="64">
        <f t="shared" si="14"/>
        <v>5.6246396119788806E-3</v>
      </c>
      <c r="Y16" s="42">
        <v>0.27001524074083116</v>
      </c>
      <c r="Z16" s="60">
        <f t="shared" si="15"/>
        <v>0.67354420861079212</v>
      </c>
      <c r="AA16" s="60">
        <f t="shared" si="16"/>
        <v>0</v>
      </c>
      <c r="AB16" s="55">
        <f t="shared" si="17"/>
        <v>3.569166781561167</v>
      </c>
      <c r="AC16" s="66">
        <f t="shared" si="32"/>
        <v>3.574791421173146</v>
      </c>
      <c r="AD16" s="43">
        <v>13.142716751160581</v>
      </c>
      <c r="AE16" s="60">
        <f t="shared" si="18"/>
        <v>1.528058157611575</v>
      </c>
      <c r="AF16" s="60">
        <f t="shared" si="19"/>
        <v>0</v>
      </c>
      <c r="AG16" s="55">
        <f t="shared" si="20"/>
        <v>0.52078304217519444</v>
      </c>
      <c r="AH16" s="40">
        <v>1.3432902210150433</v>
      </c>
      <c r="AI16" s="60">
        <f t="shared" si="21"/>
        <v>0</v>
      </c>
      <c r="AJ16" s="60">
        <f t="shared" si="22"/>
        <v>0.477302539771705</v>
      </c>
      <c r="AK16" s="55">
        <f t="shared" si="23"/>
        <v>5.5116550744280773E-3</v>
      </c>
      <c r="AL16" s="62">
        <f t="shared" si="33"/>
        <v>0.52629469724962252</v>
      </c>
      <c r="AM16" s="44">
        <v>122.01772507688456</v>
      </c>
      <c r="AN16" s="60">
        <f t="shared" si="24"/>
        <v>0</v>
      </c>
      <c r="AO16" s="60">
        <f t="shared" si="25"/>
        <v>12.01772507688456</v>
      </c>
      <c r="AP16" s="55">
        <f t="shared" si="26"/>
        <v>1.09252046153496E-3</v>
      </c>
      <c r="AQ16" s="42">
        <v>7.1923782624085303E-2</v>
      </c>
      <c r="AR16" s="60">
        <f t="shared" si="27"/>
        <v>1.4212146445977705</v>
      </c>
      <c r="AS16" s="60">
        <f t="shared" si="28"/>
        <v>0</v>
      </c>
      <c r="AT16" s="55">
        <f t="shared" si="29"/>
        <v>4.7591523287030144</v>
      </c>
      <c r="AU16" s="68">
        <f t="shared" si="34"/>
        <v>4.7602448491645495</v>
      </c>
      <c r="AV16" s="69">
        <f t="shared" si="35"/>
        <v>13.076325104530099</v>
      </c>
    </row>
    <row r="17" spans="1:48">
      <c r="A17" s="104">
        <v>15</v>
      </c>
      <c r="B17" s="36" t="s">
        <v>382</v>
      </c>
      <c r="C17" s="40">
        <v>0.60829999999999995</v>
      </c>
      <c r="D17" s="54">
        <f t="shared" si="0"/>
        <v>0</v>
      </c>
      <c r="E17" s="54">
        <f t="shared" si="1"/>
        <v>0.22888388593260828</v>
      </c>
      <c r="F17" s="55">
        <f t="shared" si="2"/>
        <v>3.0162646952305514</v>
      </c>
      <c r="G17" s="42">
        <f>196081/1605371</f>
        <v>0.12214061422562136</v>
      </c>
      <c r="H17" s="57">
        <f t="shared" si="3"/>
        <v>0</v>
      </c>
      <c r="I17" s="57">
        <f t="shared" si="4"/>
        <v>6.0811717874111618E-2</v>
      </c>
      <c r="J17" s="55">
        <f t="shared" si="5"/>
        <v>4.9578356608250456</v>
      </c>
      <c r="K17" s="57">
        <f t="shared" si="30"/>
        <v>7.9741003560555974</v>
      </c>
      <c r="L17" s="40">
        <v>3.9097802920707982</v>
      </c>
      <c r="M17" s="60">
        <f t="shared" si="6"/>
        <v>2.2600582557140925E-2</v>
      </c>
      <c r="N17" s="60">
        <f t="shared" si="7"/>
        <v>0</v>
      </c>
      <c r="O17" s="55">
        <f t="shared" si="8"/>
        <v>5.7473025318991434E-5</v>
      </c>
      <c r="P17" s="40">
        <v>0.31332568514287573</v>
      </c>
      <c r="Q17" s="60">
        <f t="shared" si="9"/>
        <v>0</v>
      </c>
      <c r="R17" s="60">
        <f t="shared" si="10"/>
        <v>0.14853012606552279</v>
      </c>
      <c r="S17" s="55">
        <f t="shared" si="11"/>
        <v>4.5064966221512268</v>
      </c>
      <c r="T17" s="62">
        <f t="shared" si="31"/>
        <v>4.5065540951765461</v>
      </c>
      <c r="U17" s="40">
        <v>-4.5642883518368114E-2</v>
      </c>
      <c r="V17" s="63">
        <f t="shared" si="12"/>
        <v>0.1938423354626804</v>
      </c>
      <c r="W17" s="63">
        <f t="shared" si="13"/>
        <v>0</v>
      </c>
      <c r="X17" s="64">
        <f t="shared" si="14"/>
        <v>6.5399140455498772</v>
      </c>
      <c r="Y17" s="42">
        <v>0.62492080293644592</v>
      </c>
      <c r="Z17" s="60">
        <f t="shared" si="15"/>
        <v>0.31863864641517736</v>
      </c>
      <c r="AA17" s="60">
        <f t="shared" si="16"/>
        <v>0</v>
      </c>
      <c r="AB17" s="55">
        <f t="shared" si="17"/>
        <v>1.688492689221295</v>
      </c>
      <c r="AC17" s="66">
        <f t="shared" si="32"/>
        <v>8.2284067347711716</v>
      </c>
      <c r="AD17" s="43">
        <v>12.757454657239471</v>
      </c>
      <c r="AE17" s="60">
        <f t="shared" si="18"/>
        <v>1.913320251532685</v>
      </c>
      <c r="AF17" s="60">
        <f t="shared" si="19"/>
        <v>0</v>
      </c>
      <c r="AG17" s="55">
        <f t="shared" si="20"/>
        <v>0.65208561355155326</v>
      </c>
      <c r="AH17" s="40">
        <v>0.67738079696915343</v>
      </c>
      <c r="AI17" s="60">
        <f t="shared" si="21"/>
        <v>0.18860688427418482</v>
      </c>
      <c r="AJ17" s="60">
        <f t="shared" si="22"/>
        <v>0</v>
      </c>
      <c r="AK17" s="55">
        <f t="shared" si="23"/>
        <v>1.0889697876729219</v>
      </c>
      <c r="AL17" s="62">
        <f t="shared" si="33"/>
        <v>1.7410554012244752</v>
      </c>
      <c r="AM17" s="44">
        <v>143.55568417547406</v>
      </c>
      <c r="AN17" s="60">
        <f t="shared" si="24"/>
        <v>0</v>
      </c>
      <c r="AO17" s="60">
        <f t="shared" si="25"/>
        <v>33.555684175474056</v>
      </c>
      <c r="AP17" s="55">
        <f t="shared" si="26"/>
        <v>3.050516743224914E-3</v>
      </c>
      <c r="AQ17" s="42">
        <v>1</v>
      </c>
      <c r="AR17" s="60">
        <f t="shared" si="27"/>
        <v>0.49313842722185575</v>
      </c>
      <c r="AS17" s="60">
        <f t="shared" si="28"/>
        <v>0</v>
      </c>
      <c r="AT17" s="55">
        <f t="shared" si="29"/>
        <v>1.6513486567330287</v>
      </c>
      <c r="AU17" s="68">
        <f t="shared" si="34"/>
        <v>1.6543991734762535</v>
      </c>
      <c r="AV17" s="69">
        <f t="shared" si="35"/>
        <v>24.104515760704047</v>
      </c>
    </row>
    <row r="18" spans="1:48">
      <c r="A18" s="104">
        <v>16</v>
      </c>
      <c r="B18" s="36" t="s">
        <v>383</v>
      </c>
      <c r="C18" s="40">
        <v>0.4042</v>
      </c>
      <c r="D18" s="54">
        <f t="shared" si="0"/>
        <v>0</v>
      </c>
      <c r="E18" s="54">
        <f t="shared" si="1"/>
        <v>2.4783885932608329E-2</v>
      </c>
      <c r="F18" s="55">
        <f t="shared" si="2"/>
        <v>0.32660560547787154</v>
      </c>
      <c r="G18" s="42">
        <f>716931.89/9650459</f>
        <v>7.4289926520593477E-2</v>
      </c>
      <c r="H18" s="57">
        <f t="shared" si="3"/>
        <v>0</v>
      </c>
      <c r="I18" s="57">
        <f t="shared" si="4"/>
        <v>1.2961030169083732E-2</v>
      </c>
      <c r="J18" s="55">
        <f t="shared" si="5"/>
        <v>1.0566821629070997</v>
      </c>
      <c r="K18" s="57">
        <f t="shared" si="30"/>
        <v>1.3832877683849714</v>
      </c>
      <c r="L18" s="40">
        <v>4.2193200289977923</v>
      </c>
      <c r="M18" s="60">
        <f t="shared" si="6"/>
        <v>0</v>
      </c>
      <c r="N18" s="60">
        <f t="shared" si="7"/>
        <v>0.28693915436985318</v>
      </c>
      <c r="O18" s="55">
        <f t="shared" si="8"/>
        <v>0.36484150889504291</v>
      </c>
      <c r="P18" s="40">
        <v>0.17795404713761695</v>
      </c>
      <c r="Q18" s="60">
        <f t="shared" si="9"/>
        <v>0</v>
      </c>
      <c r="R18" s="60">
        <f t="shared" si="10"/>
        <v>1.3158488060264012E-2</v>
      </c>
      <c r="S18" s="55">
        <f t="shared" si="11"/>
        <v>0.39923673107257657</v>
      </c>
      <c r="T18" s="62">
        <f t="shared" si="31"/>
        <v>0.76407823996761948</v>
      </c>
      <c r="U18" s="40">
        <v>2.5726947029200496E-2</v>
      </c>
      <c r="V18" s="63">
        <f t="shared" si="12"/>
        <v>0.12247250491511177</v>
      </c>
      <c r="W18" s="63">
        <f t="shared" si="13"/>
        <v>0</v>
      </c>
      <c r="X18" s="64">
        <f t="shared" si="14"/>
        <v>4.1320161211234527</v>
      </c>
      <c r="Y18" s="42">
        <v>0.60879222677806188</v>
      </c>
      <c r="Z18" s="60">
        <f t="shared" si="15"/>
        <v>0.3347672225735614</v>
      </c>
      <c r="AA18" s="60">
        <f t="shared" si="16"/>
        <v>0</v>
      </c>
      <c r="AB18" s="55">
        <f t="shared" si="17"/>
        <v>1.77395935573323</v>
      </c>
      <c r="AC18" s="66">
        <f t="shared" si="32"/>
        <v>5.9059754768566828</v>
      </c>
      <c r="AD18" s="43">
        <v>6.5596455237715592</v>
      </c>
      <c r="AE18" s="60">
        <f t="shared" si="18"/>
        <v>8.1111293850005968</v>
      </c>
      <c r="AF18" s="60">
        <f t="shared" si="19"/>
        <v>0</v>
      </c>
      <c r="AG18" s="55">
        <f t="shared" si="20"/>
        <v>2.764383420589009</v>
      </c>
      <c r="AH18" s="40">
        <v>0.34638792179161049</v>
      </c>
      <c r="AI18" s="60">
        <f t="shared" si="21"/>
        <v>0.51959975945172776</v>
      </c>
      <c r="AJ18" s="60">
        <f t="shared" si="22"/>
        <v>0</v>
      </c>
      <c r="AK18" s="55">
        <f t="shared" si="23"/>
        <v>3.0000412864171149</v>
      </c>
      <c r="AL18" s="62">
        <f t="shared" si="33"/>
        <v>5.7644247070061239</v>
      </c>
      <c r="AM18" s="44">
        <v>135.29220657860242</v>
      </c>
      <c r="AN18" s="60">
        <f t="shared" si="24"/>
        <v>0</v>
      </c>
      <c r="AO18" s="60">
        <f t="shared" si="25"/>
        <v>25.292206578602418</v>
      </c>
      <c r="AP18" s="55">
        <f t="shared" si="26"/>
        <v>2.2992915071456742E-3</v>
      </c>
      <c r="AQ18" s="42">
        <v>0.95486181884238908</v>
      </c>
      <c r="AR18" s="60">
        <f t="shared" si="27"/>
        <v>0.53827660837946667</v>
      </c>
      <c r="AS18" s="60">
        <f t="shared" si="28"/>
        <v>0</v>
      </c>
      <c r="AT18" s="55">
        <f t="shared" si="29"/>
        <v>1.8025006876990903</v>
      </c>
      <c r="AU18" s="68">
        <f t="shared" si="34"/>
        <v>1.8047999792062359</v>
      </c>
      <c r="AV18" s="69">
        <f t="shared" si="35"/>
        <v>15.622566171421635</v>
      </c>
    </row>
    <row r="19" spans="1:48">
      <c r="A19" s="104">
        <v>17</v>
      </c>
      <c r="B19" s="36" t="s">
        <v>239</v>
      </c>
      <c r="C19" s="40">
        <v>0.49280000000000002</v>
      </c>
      <c r="D19" s="54">
        <f>(IF((C$27-C19)&gt;=0,C$27-C19,0))</f>
        <v>0</v>
      </c>
      <c r="E19" s="54">
        <f>(IF((C19-C$27)&gt;=0,C19-C$27,0))</f>
        <v>0.11338388593260834</v>
      </c>
      <c r="F19" s="55">
        <f>(D19/(D$28*D$25)+E19/(E$28*E$25))*K$28</f>
        <v>1.4941891201867767</v>
      </c>
      <c r="G19" s="42">
        <f>217510/2010062</f>
        <v>0.10821059250908678</v>
      </c>
      <c r="H19" s="57">
        <f>(IF((G$27-G19)&gt;=0,G$27-G19,0))</f>
        <v>0</v>
      </c>
      <c r="I19" s="57">
        <f>(IF((G19-G$27)&gt;=0,G19-G$27,0))</f>
        <v>4.6881696157577035E-2</v>
      </c>
      <c r="J19" s="55">
        <f>H19/(H$28*H$25)+I19/(I$28*I$25)*K$28</f>
        <v>3.8221539067711379</v>
      </c>
      <c r="K19" s="57">
        <f t="shared" si="30"/>
        <v>5.3163430269579148</v>
      </c>
      <c r="L19" s="40">
        <v>5.2340655471970079</v>
      </c>
      <c r="M19" s="60">
        <f>(IF((L$27-L19)&gt;=0,L$27-L19,0))</f>
        <v>0</v>
      </c>
      <c r="N19" s="60">
        <f>(IF((L19-L$27)&gt;=0,L19-L$27,0))</f>
        <v>1.3016846725690687</v>
      </c>
      <c r="O19" s="55">
        <f>(M19/(M$28*M$25)+N19/(N$28*N$25))*T$28</f>
        <v>1.6550846854225776</v>
      </c>
      <c r="P19" s="40">
        <v>0.31804584461637653</v>
      </c>
      <c r="Q19" s="60">
        <f>(IF((P$27-P19)&gt;=0,P$27-P19,0))</f>
        <v>0</v>
      </c>
      <c r="R19" s="60">
        <f>(IF((P19-P$27)&gt;=0,P19-P$27,0))</f>
        <v>0.15325028553902359</v>
      </c>
      <c r="S19" s="55">
        <f>(Q19/(Q$28*Q$25)+R19/(R$28*R$25))*T$28</f>
        <v>4.6497092032404179</v>
      </c>
      <c r="T19" s="62">
        <f t="shared" si="31"/>
        <v>6.3047938886629957</v>
      </c>
      <c r="U19" s="40">
        <v>0.12064555293712168</v>
      </c>
      <c r="V19" s="63">
        <f>(IF((U$27-U19)&gt;=0,U$27-U19,0))</f>
        <v>2.7553899007190602E-2</v>
      </c>
      <c r="W19" s="63">
        <f>(IF((U19-U$27)&gt;=0,U19-U$27,0))</f>
        <v>0</v>
      </c>
      <c r="X19" s="64">
        <f>(V19/(V$28*V$25)+W19/(W$28*W$25))*AC$28</f>
        <v>0.92962216275753529</v>
      </c>
      <c r="Y19" s="42">
        <v>0.98639983327635683</v>
      </c>
      <c r="Z19" s="60">
        <f>(IF((Y$27-Y19)&gt;=0,Y$27-Y19,0))</f>
        <v>0</v>
      </c>
      <c r="AA19" s="60">
        <f>(IF((Y19-Y$27)&gt;=0,Y19-Y$27,0))</f>
        <v>4.2840383924733549E-2</v>
      </c>
      <c r="AB19" s="55">
        <f>(Z19/(Z$28*Z$25)+AA19/(AA$28*AA$25))*AC$28</f>
        <v>4.5402951508960844E-4</v>
      </c>
      <c r="AC19" s="66">
        <f t="shared" si="32"/>
        <v>0.93007619227262495</v>
      </c>
      <c r="AD19" s="40">
        <v>9.5326680863678774</v>
      </c>
      <c r="AE19" s="60">
        <f>(IF((AD$27-AD19)&gt;=0,AD$27-AD19,0))</f>
        <v>5.1381068224042785</v>
      </c>
      <c r="AF19" s="60">
        <f>(IF((AD19-AD$27)&gt;=0,AD19-AD$27,0))</f>
        <v>0</v>
      </c>
      <c r="AG19" s="55">
        <f>(AE19/(AE$28*AE$25)+AF19/(AF$28*AF$25))*AL$28</f>
        <v>1.7511368194095969</v>
      </c>
      <c r="AH19" s="40">
        <v>0.1865426340732961</v>
      </c>
      <c r="AI19" s="60">
        <f>(IF((AH$27-AH19)&gt;=0,AH$27-AH19,0))</f>
        <v>0.67944504717004217</v>
      </c>
      <c r="AJ19" s="60">
        <f>(IF((AH19-AH$27)&gt;=0,AH19-AH$27,0))</f>
        <v>0</v>
      </c>
      <c r="AK19" s="55">
        <f>(AI19/(AI$28*AI$25)+AJ19/(AJ$28*AJ$25))*AL$28</f>
        <v>3.9229486855663565</v>
      </c>
      <c r="AL19" s="62">
        <f t="shared" si="33"/>
        <v>5.6740855049759533</v>
      </c>
      <c r="AM19" s="44">
        <v>105.27369548802213</v>
      </c>
      <c r="AN19" s="60">
        <f>(IF((AM$27-AM19)&gt;=0,AM$27-AM19,0))</f>
        <v>4.7263045119778724</v>
      </c>
      <c r="AO19" s="60">
        <f>(IF((AM19-AM$27)&gt;=0,AM19-AM$27,0))</f>
        <v>0</v>
      </c>
      <c r="AP19" s="55">
        <f>(AN19/(AN$28*AN$25)+AO19/(AO$28*AO$25))*AU$28</f>
        <v>0.21483202327172146</v>
      </c>
      <c r="AQ19" s="42">
        <v>3.2422152336025536</v>
      </c>
      <c r="AR19" s="60">
        <f>(IF((AQ$27-AQ19)&gt;=0,AQ$27-AQ19,0))</f>
        <v>0</v>
      </c>
      <c r="AS19" s="60">
        <f>(IF((AQ19-AQ$27)&gt;=0,AQ19-AQ$27,0))</f>
        <v>1.7490768063806978</v>
      </c>
      <c r="AT19" s="55">
        <f>(AR19/(AR$28*AR$25)+AS19/(AS$28*AS$25))*AU$28</f>
        <v>1.1714096794327656E-2</v>
      </c>
      <c r="AU19" s="68">
        <f t="shared" si="34"/>
        <v>0.22654612006604913</v>
      </c>
      <c r="AV19" s="69">
        <f t="shared" si="35"/>
        <v>18.451844732935541</v>
      </c>
    </row>
    <row r="20" spans="1:48">
      <c r="A20" s="104">
        <v>18</v>
      </c>
      <c r="B20" s="36" t="s">
        <v>384</v>
      </c>
      <c r="C20" s="40">
        <v>0.314</v>
      </c>
      <c r="D20" s="54">
        <f>(IF((C$27-C20)&gt;=0,C$27-C20,0))</f>
        <v>6.5416114067391673E-2</v>
      </c>
      <c r="E20" s="54">
        <f>(IF((C20-C$27)&gt;=0,C20-C$27,0))</f>
        <v>0</v>
      </c>
      <c r="F20" s="55">
        <f>(D20/(D$28*D$25)+E20/(E$28*E$25))*K$28</f>
        <v>1.7241258776840589E-3</v>
      </c>
      <c r="G20" s="42">
        <f>2827286.1/26296796</f>
        <v>0.10751447058417307</v>
      </c>
      <c r="H20" s="57">
        <f>(IF((G$27-G20)&gt;=0,G$27-G20,0))</f>
        <v>0</v>
      </c>
      <c r="I20" s="57">
        <f>(IF((G20-G$27)&gt;=0,G20-G$27,0))</f>
        <v>4.6185574232663326E-2</v>
      </c>
      <c r="J20" s="55">
        <f>H20/(H$28*H$25)+I20/(I$28*I$25)*K$28</f>
        <v>3.7654007311617277</v>
      </c>
      <c r="K20" s="57">
        <f t="shared" si="30"/>
        <v>3.7671248570394118</v>
      </c>
      <c r="L20" s="40">
        <v>3.3778405746577227</v>
      </c>
      <c r="M20" s="60">
        <f>(IF((L$27-L20)&gt;=0,L$27-L20,0))</f>
        <v>0.55454029997021648</v>
      </c>
      <c r="N20" s="60">
        <f>(IF((L20-L$27)&gt;=0,L20-L$27,0))</f>
        <v>0</v>
      </c>
      <c r="O20" s="55">
        <f>(M20/(M$28*M$25)+N20/(N$28*N$25))*T$28</f>
        <v>1.4101896984296672E-3</v>
      </c>
      <c r="P20" s="40">
        <v>0.13021436233064212</v>
      </c>
      <c r="Q20" s="60">
        <f>(IF((P$27-P20)&gt;=0,P$27-P20,0))</f>
        <v>3.4581196746710813E-2</v>
      </c>
      <c r="R20" s="60">
        <f>(IF((P20-P$27)&gt;=0,P20-P$27,0))</f>
        <v>0</v>
      </c>
      <c r="S20" s="55">
        <f>(Q20/(Q$28*Q$25)+R20/(R$28*R$25))*T$28</f>
        <v>2.0984301361227121E-3</v>
      </c>
      <c r="T20" s="62">
        <f t="shared" si="31"/>
        <v>3.5086198345523796E-3</v>
      </c>
      <c r="U20" s="40">
        <v>7.2284435899779759E-2</v>
      </c>
      <c r="V20" s="63">
        <f>(IF((U$27-U20)&gt;=0,U$27-U20,0))</f>
        <v>7.5915016044532518E-2</v>
      </c>
      <c r="W20" s="63">
        <f>(IF((U20-U$27)&gt;=0,U20-U$27,0))</f>
        <v>0</v>
      </c>
      <c r="X20" s="64">
        <f>(V20/(V$28*V$25)+W20/(W$28*W$25))*AC$28</f>
        <v>2.5612448308195663</v>
      </c>
      <c r="Y20" s="42">
        <v>0.51863689287368087</v>
      </c>
      <c r="Z20" s="60">
        <f>(IF((Y$27-Y20)&gt;=0,Y$27-Y20,0))</f>
        <v>0.42492255647794241</v>
      </c>
      <c r="AA20" s="60">
        <f>(IF((Y20-Y$27)&gt;=0,Y20-Y$27,0))</f>
        <v>0</v>
      </c>
      <c r="AB20" s="55">
        <f>(Z20/(Z$28*Z$25)+AA20/(AA$28*AA$25))*AC$28</f>
        <v>2.2516999685071903</v>
      </c>
      <c r="AC20" s="66">
        <f t="shared" si="32"/>
        <v>4.8129447993267567</v>
      </c>
      <c r="AD20" s="40">
        <v>4.0744093474202785</v>
      </c>
      <c r="AE20" s="60">
        <f>(IF((AD$27-AD20)&gt;=0,AD$27-AD20,0))</f>
        <v>10.596365561351877</v>
      </c>
      <c r="AF20" s="60">
        <f>(IF((AD20-AD$27)&gt;=0,AD20-AD$27,0))</f>
        <v>0</v>
      </c>
      <c r="AG20" s="55">
        <f>(AE20/(AE$28*AE$25)+AF20/(AF$28*AF$25))*AL$28</f>
        <v>3.611385774522363</v>
      </c>
      <c r="AH20" s="40">
        <v>0.32772691251788849</v>
      </c>
      <c r="AI20" s="60">
        <f>(IF((AH$27-AH20)&gt;=0,AH$27-AH20,0))</f>
        <v>0.5382607687254497</v>
      </c>
      <c r="AJ20" s="60">
        <f>(IF((AH20-AH$27)&gt;=0,AH20-AH$27,0))</f>
        <v>0</v>
      </c>
      <c r="AK20" s="55">
        <f>(AI20/(AI$28*AI$25)+AJ20/(AJ$28*AJ$25))*AL$28</f>
        <v>3.1077853668348032</v>
      </c>
      <c r="AL20" s="62">
        <f t="shared" si="33"/>
        <v>6.7191711413571662</v>
      </c>
      <c r="AM20" s="44">
        <v>216.29430223368584</v>
      </c>
      <c r="AN20" s="60">
        <f>(IF((AM$27-AM20)&gt;=0,AM$27-AM20,0))</f>
        <v>0</v>
      </c>
      <c r="AO20" s="60">
        <f>(IF((AM20-AM$27)&gt;=0,AM20-AM$27,0))</f>
        <v>106.29430223368584</v>
      </c>
      <c r="AP20" s="55">
        <f>(AN20/(AN$28*AN$25)+AO20/(AO$28*AO$25))*AU$28</f>
        <v>9.6631183848805303E-3</v>
      </c>
      <c r="AQ20" s="42">
        <v>0.54730551387916349</v>
      </c>
      <c r="AR20" s="60">
        <f>(IF((AQ$27-AQ20)&gt;=0,AQ$27-AQ20,0))</f>
        <v>0.94583291334269226</v>
      </c>
      <c r="AS20" s="60">
        <f>(IF((AQ20-AQ$27)&gt;=0,AQ20-AQ$27,0))</f>
        <v>0</v>
      </c>
      <c r="AT20" s="55">
        <f>(AR20/(AR$28*AR$25)+AS20/(AS$28*AS$25))*AU$28</f>
        <v>3.167264655771119</v>
      </c>
      <c r="AU20" s="68">
        <f t="shared" si="34"/>
        <v>3.1769277741559994</v>
      </c>
      <c r="AV20" s="69">
        <f t="shared" si="35"/>
        <v>18.479677191713886</v>
      </c>
    </row>
    <row r="21" spans="1:48">
      <c r="A21" s="104">
        <v>19</v>
      </c>
      <c r="B21" s="36" t="s">
        <v>385</v>
      </c>
      <c r="C21" s="40">
        <v>0.28620000000000001</v>
      </c>
      <c r="D21" s="54">
        <f>(IF((C$27-C21)&gt;=0,C$27-C21,0))</f>
        <v>9.3216114067391664E-2</v>
      </c>
      <c r="E21" s="54">
        <f>(IF((C21-C$27)&gt;=0,C21-C$27,0))</f>
        <v>0</v>
      </c>
      <c r="F21" s="55">
        <f>(D21/(D$28*D$25)+E21/(E$28*E$25))*K$28</f>
        <v>2.4568306566661708E-3</v>
      </c>
      <c r="G21" s="42">
        <f>383801.08/5497840</f>
        <v>6.9809430612749732E-2</v>
      </c>
      <c r="H21" s="57">
        <f>(IF((G$27-G21)&gt;=0,G$27-G21,0))</f>
        <v>0</v>
      </c>
      <c r="I21" s="57">
        <f>(IF((G21-G$27)&gt;=0,G21-G$27,0))</f>
        <v>8.4805342612399859E-3</v>
      </c>
      <c r="J21" s="55">
        <f>H21/(H$28*H$25)+I21/(I$28*I$25)*K$28</f>
        <v>0.69139791890541813</v>
      </c>
      <c r="K21" s="57">
        <f t="shared" si="30"/>
        <v>0.69385474956208426</v>
      </c>
      <c r="L21" s="40">
        <v>4.3316551176051181</v>
      </c>
      <c r="M21" s="60">
        <f>(IF((L$27-L21)&gt;=0,L$27-L21,0))</f>
        <v>0</v>
      </c>
      <c r="N21" s="60">
        <f>(IF((L21-L$27)&gt;=0,L21-L$27,0))</f>
        <v>0.39927424297717895</v>
      </c>
      <c r="O21" s="55">
        <f>(M21/(M$28*M$25)+N21/(N$28*N$25))*T$28</f>
        <v>0.50767493753381165</v>
      </c>
      <c r="P21" s="40">
        <v>0.1620634351250112</v>
      </c>
      <c r="Q21" s="60">
        <f>(IF((P$27-P21)&gt;=0,P$27-P21,0))</f>
        <v>2.7321239523417362E-3</v>
      </c>
      <c r="R21" s="60">
        <f>(IF((P21-P$27)&gt;=0,P21-P$27,0))</f>
        <v>0</v>
      </c>
      <c r="S21" s="55">
        <f>(Q21/(Q$28*Q$25)+R21/(R$28*R$25))*T$28</f>
        <v>1.657886879742501E-4</v>
      </c>
      <c r="T21" s="62">
        <f t="shared" si="31"/>
        <v>0.50784072622178589</v>
      </c>
      <c r="U21" s="40">
        <v>-3.7282696829270053E-2</v>
      </c>
      <c r="V21" s="63">
        <f>(IF((U$27-U21)&gt;=0,U$27-U21,0))</f>
        <v>0.18548214877358232</v>
      </c>
      <c r="W21" s="63">
        <f>(IF((U21-U$27)&gt;=0,U21-U$27,0))</f>
        <v>0</v>
      </c>
      <c r="X21" s="64">
        <f>(V21/(V$28*V$25)+W21/(W$28*W$25))*AC$28</f>
        <v>6.2578554218702322</v>
      </c>
      <c r="Y21" s="42">
        <v>0.8096211653582529</v>
      </c>
      <c r="Z21" s="60">
        <f>(IF((Y$27-Y21)&gt;=0,Y$27-Y21,0))</f>
        <v>0.13393828399337038</v>
      </c>
      <c r="AA21" s="60">
        <f>(IF((Y21-Y$27)&gt;=0,Y21-Y$27,0))</f>
        <v>0</v>
      </c>
      <c r="AB21" s="55">
        <f>(Z21/(Z$28*Z$25)+AA21/(AA$28*AA$25))*AC$28</f>
        <v>0.70975010681842809</v>
      </c>
      <c r="AC21" s="66">
        <f t="shared" si="32"/>
        <v>6.9676055286886607</v>
      </c>
      <c r="AD21" s="40">
        <v>12.389225923795104</v>
      </c>
      <c r="AE21" s="60">
        <f>(IF((AD$27-AD21)&gt;=0,AD$27-AD21,0))</f>
        <v>2.2815489849770518</v>
      </c>
      <c r="AF21" s="60">
        <f>(IF((AD21-AD$27)&gt;=0,AD21-AD$27,0))</f>
        <v>0</v>
      </c>
      <c r="AG21" s="55">
        <f>(AE21/(AE$28*AE$25)+AF21/(AF$28*AF$25))*AL$28</f>
        <v>0.77758298357261135</v>
      </c>
      <c r="AH21" s="40">
        <v>0.49199919922114843</v>
      </c>
      <c r="AI21" s="60">
        <f>(IF((AH$27-AH21)&gt;=0,AH$27-AH21,0))</f>
        <v>0.37398848202218982</v>
      </c>
      <c r="AJ21" s="60">
        <f>(IF((AH21-AH$27)&gt;=0,AH21-AH$27,0))</f>
        <v>0</v>
      </c>
      <c r="AK21" s="55">
        <f>(AI21/(AI$28*AI$25)+AJ21/(AJ$28*AJ$25))*AL$28</f>
        <v>2.1593175637627859</v>
      </c>
      <c r="AL21" s="62">
        <f t="shared" si="33"/>
        <v>2.9369005473353971</v>
      </c>
      <c r="AM21" s="44">
        <v>140.80742906653057</v>
      </c>
      <c r="AN21" s="60">
        <f>(IF((AM$27-AM21)&gt;=0,AM$27-AM21,0))</f>
        <v>0</v>
      </c>
      <c r="AO21" s="60">
        <f>(IF((AM21-AM$27)&gt;=0,AM21-AM$27,0))</f>
        <v>30.807429066530574</v>
      </c>
      <c r="AP21" s="55">
        <f>(AN21/(AN$28*AN$25)+AO21/(AO$28*AO$25))*AU$28</f>
        <v>2.8006753696845975E-3</v>
      </c>
      <c r="AQ21" s="42">
        <v>0.90383684911326334</v>
      </c>
      <c r="AR21" s="60">
        <f>(IF((AQ$27-AQ21)&gt;=0,AQ$27-AQ21,0))</f>
        <v>0.58930157810859241</v>
      </c>
      <c r="AS21" s="60">
        <f>(IF((AQ21-AQ$27)&gt;=0,AQ21-AQ$27,0))</f>
        <v>0</v>
      </c>
      <c r="AT21" s="55">
        <f>(AR21/(AR$28*AR$25)+AS21/(AS$28*AS$25))*AU$28</f>
        <v>1.9733655211226837</v>
      </c>
      <c r="AU21" s="68">
        <f t="shared" si="34"/>
        <v>1.9761661964923682</v>
      </c>
      <c r="AV21" s="69">
        <f t="shared" si="35"/>
        <v>13.082367748300294</v>
      </c>
    </row>
    <row r="22" spans="1:48">
      <c r="A22" s="104">
        <v>20</v>
      </c>
      <c r="B22" s="36" t="s">
        <v>386</v>
      </c>
      <c r="C22" s="40">
        <v>0.3251</v>
      </c>
      <c r="D22" s="54">
        <f>(IF((C$27-C22)&gt;=0,C$27-C22,0))</f>
        <v>5.4316114067391674E-2</v>
      </c>
      <c r="E22" s="54">
        <f>(IF((C22-C$27)&gt;=0,C22-C$27,0))</f>
        <v>0</v>
      </c>
      <c r="F22" s="55">
        <f>(D22/(D$28*D$25)+E22/(E$28*E$25))*K$28</f>
        <v>1.431571091831489E-3</v>
      </c>
      <c r="G22" s="42">
        <f>730378.96/8807262</f>
        <v>8.2929173675087661E-2</v>
      </c>
      <c r="H22" s="57">
        <f>(IF((G$27-G22)&gt;=0,G$27-G22,0))</f>
        <v>0</v>
      </c>
      <c r="I22" s="57">
        <f>(IF((G22-G$27)&gt;=0,G22-G$27,0))</f>
        <v>2.1600277323577916E-2</v>
      </c>
      <c r="J22" s="55">
        <f>H22/(H$28*H$25)+I22/(I$28*I$25)*K$28</f>
        <v>1.7610195689626311</v>
      </c>
      <c r="K22" s="57">
        <f t="shared" si="30"/>
        <v>1.7624511400544627</v>
      </c>
      <c r="L22" s="40">
        <v>3.5876165991895066</v>
      </c>
      <c r="M22" s="60">
        <f>(IF((L$27-L22)&gt;=0,L$27-L22,0))</f>
        <v>0.34476427543843258</v>
      </c>
      <c r="N22" s="60">
        <f>(IF((L22-L$27)&gt;=0,L22-L$27,0))</f>
        <v>0</v>
      </c>
      <c r="O22" s="55">
        <f>(M22/(M$28*M$25)+N22/(N$28*N$25))*T$28</f>
        <v>8.7673164535734933E-4</v>
      </c>
      <c r="P22" s="40">
        <v>0.1441569173551113</v>
      </c>
      <c r="Q22" s="60">
        <f>(IF((P$27-P22)&gt;=0,P$27-P22,0))</f>
        <v>2.0638641722241641E-2</v>
      </c>
      <c r="R22" s="60">
        <f>(IF((P22-P$27)&gt;=0,P22-P$27,0))</f>
        <v>0</v>
      </c>
      <c r="S22" s="55">
        <f>(Q22/(Q$28*Q$25)+R22/(R$28*R$25))*T$28</f>
        <v>1.2523785129764406E-3</v>
      </c>
      <c r="T22" s="62">
        <f t="shared" si="31"/>
        <v>2.1291101583337897E-3</v>
      </c>
      <c r="U22" s="40">
        <v>0.12641296377455158</v>
      </c>
      <c r="V22" s="63">
        <f>(IF((U$27-U22)&gt;=0,U$27-U22,0))</f>
        <v>2.1786488169760698E-2</v>
      </c>
      <c r="W22" s="63">
        <f>(IF((U22-U$27)&gt;=0,U22-U$27,0))</f>
        <v>0</v>
      </c>
      <c r="X22" s="64">
        <f>(V22/(V$28*V$25)+W22/(W$28*W$25))*AC$28</f>
        <v>0.73503943111568426</v>
      </c>
      <c r="Y22" s="42">
        <v>0.58819727610791395</v>
      </c>
      <c r="Z22" s="60">
        <f>(IF((Y$27-Y22)&gt;=0,Y$27-Y22,0))</f>
        <v>0.35536217324370933</v>
      </c>
      <c r="AA22" s="60">
        <f>(IF((Y22-Y$27)&gt;=0,Y22-Y$27,0))</f>
        <v>0</v>
      </c>
      <c r="AB22" s="55">
        <f>(Z22/(Z$28*Z$25)+AA22/(AA$28*AA$25))*AC$28</f>
        <v>1.8830937122610565</v>
      </c>
      <c r="AC22" s="66">
        <f t="shared" si="32"/>
        <v>2.618133143376741</v>
      </c>
      <c r="AD22" s="40">
        <v>7.6396730070987102</v>
      </c>
      <c r="AE22" s="60">
        <f>(IF((AD$27-AD22)&gt;=0,AD$27-AD22,0))</f>
        <v>7.0311019016734457</v>
      </c>
      <c r="AF22" s="60">
        <f>(IF((AD22-AD$27)&gt;=0,AD22-AD$27,0))</f>
        <v>0</v>
      </c>
      <c r="AG22" s="55">
        <f>(AE22/(AE$28*AE$25)+AF22/(AF$28*AF$25))*AL$28</f>
        <v>2.3962953372930933</v>
      </c>
      <c r="AH22" s="40">
        <v>0.41886628998859193</v>
      </c>
      <c r="AI22" s="60">
        <f>(IF((AH$27-AH22)&gt;=0,AH$27-AH22,0))</f>
        <v>0.44712139125474631</v>
      </c>
      <c r="AJ22" s="60">
        <f>(IF((AH22-AH$27)&gt;=0,AH22-AH$27,0))</f>
        <v>0</v>
      </c>
      <c r="AK22" s="55">
        <f>(AI22/(AI$28*AI$25)+AJ22/(AJ$28*AJ$25))*AL$28</f>
        <v>2.5815690046121302</v>
      </c>
      <c r="AL22" s="62">
        <f t="shared" si="33"/>
        <v>4.9778643419052235</v>
      </c>
      <c r="AM22" s="44">
        <v>168.14148383261912</v>
      </c>
      <c r="AN22" s="60">
        <f>(IF((AM$27-AM22)&gt;=0,AM$27-AM22,0))</f>
        <v>0</v>
      </c>
      <c r="AO22" s="60">
        <f>(IF((AM22-AM$27)&gt;=0,AM22-AM$27,0))</f>
        <v>58.141483832619116</v>
      </c>
      <c r="AP22" s="55">
        <f>(AN22/(AN$28*AN$25)+AO22/(AO$28*AO$25))*AU$28</f>
        <v>5.2855894393290109E-3</v>
      </c>
      <c r="AQ22" s="42">
        <v>0.84262023980007195</v>
      </c>
      <c r="AR22" s="60">
        <f>(IF((AQ$27-AQ22)&gt;=0,AQ$27-AQ22,0))</f>
        <v>0.6505181874217838</v>
      </c>
      <c r="AS22" s="60">
        <f>(IF((AQ22-AQ$27)&gt;=0,AQ22-AQ$27,0))</f>
        <v>0</v>
      </c>
      <c r="AT22" s="55">
        <f>(AR22/(AR$28*AR$25)+AS22/(AS$28*AS$25))*AU$28</f>
        <v>2.1783586021295513</v>
      </c>
      <c r="AU22" s="68">
        <f t="shared" si="34"/>
        <v>2.1836441915688805</v>
      </c>
      <c r="AV22" s="69">
        <f t="shared" si="35"/>
        <v>11.54422192706364</v>
      </c>
    </row>
    <row r="23" spans="1:48">
      <c r="B23" s="59" t="s">
        <v>401</v>
      </c>
      <c r="C23" s="56">
        <f>MIN(C3:C22)</f>
        <v>0.27100000000000002</v>
      </c>
      <c r="D23" s="56"/>
      <c r="E23" s="56"/>
      <c r="F23" s="56"/>
      <c r="G23" s="56">
        <f>MIN(G3:G22)</f>
        <v>3.9297778599315054E-2</v>
      </c>
      <c r="H23" s="58"/>
      <c r="I23" s="58"/>
      <c r="J23" s="56"/>
      <c r="K23" s="59"/>
      <c r="L23" s="56">
        <f>MIN(L3:L22)</f>
        <v>3.1261794484129659</v>
      </c>
      <c r="M23" s="61"/>
      <c r="N23" s="61"/>
      <c r="O23" s="59"/>
      <c r="P23" s="56">
        <f>MIN(P3:P22)</f>
        <v>9.7575615286363979E-2</v>
      </c>
      <c r="Q23" s="61"/>
      <c r="R23" s="61"/>
      <c r="S23" s="56"/>
      <c r="T23" s="59"/>
      <c r="U23" s="99">
        <f>MIN(U3:U22)</f>
        <v>-0.19692164417648578</v>
      </c>
      <c r="V23" s="65"/>
      <c r="W23" s="65"/>
      <c r="X23" s="59"/>
      <c r="Y23" s="56">
        <f>MIN(Y3:Y22)</f>
        <v>0.27001524074083116</v>
      </c>
      <c r="Z23" s="56"/>
      <c r="AA23" s="56"/>
      <c r="AB23" s="61"/>
      <c r="AC23" s="59"/>
      <c r="AD23" s="100">
        <f>MIN(AD3:AD22)</f>
        <v>4.0744093474202785</v>
      </c>
      <c r="AE23" s="56"/>
      <c r="AF23" s="56"/>
      <c r="AG23" s="59"/>
      <c r="AH23" s="56">
        <f>MIN(AH3:AH22)</f>
        <v>0.1865426340732961</v>
      </c>
      <c r="AI23" s="56"/>
      <c r="AJ23" s="56"/>
      <c r="AK23" s="61"/>
      <c r="AL23" s="67"/>
      <c r="AM23" s="56">
        <f>MIN(AM3:AM22)</f>
        <v>96.687786404036558</v>
      </c>
      <c r="AN23" s="56"/>
      <c r="AO23" s="56"/>
      <c r="AP23" s="59"/>
      <c r="AQ23" s="65">
        <f>MIN(AQ3:AQ22)</f>
        <v>7.1923782624085303E-2</v>
      </c>
      <c r="AR23" s="56"/>
      <c r="AS23" s="56"/>
      <c r="AT23" s="61"/>
      <c r="AU23" s="61"/>
      <c r="AV23" s="59"/>
    </row>
    <row r="24" spans="1:48">
      <c r="B24" s="59" t="s">
        <v>402</v>
      </c>
      <c r="C24" s="56">
        <f>MAX(C3:C22)</f>
        <v>0.622</v>
      </c>
      <c r="D24" s="56"/>
      <c r="E24" s="56"/>
      <c r="F24" s="56"/>
      <c r="G24" s="56">
        <f>MAX(G3:G22)</f>
        <v>0.14156575279175437</v>
      </c>
      <c r="H24" s="58"/>
      <c r="I24" s="58"/>
      <c r="J24" s="56"/>
      <c r="K24" s="59"/>
      <c r="L24" s="56">
        <f>MAX(L3:L22)</f>
        <v>6.7314045703702519</v>
      </c>
      <c r="M24" s="61"/>
      <c r="N24" s="61"/>
      <c r="O24" s="59"/>
      <c r="P24" s="56">
        <f>MAX(P3:P22)</f>
        <v>0.31804584461637653</v>
      </c>
      <c r="Q24" s="61"/>
      <c r="R24" s="61"/>
      <c r="S24" s="56"/>
      <c r="T24" s="59"/>
      <c r="U24" s="99">
        <f>MAX(U3:U22)</f>
        <v>0.23155630273226621</v>
      </c>
      <c r="V24" s="65"/>
      <c r="W24" s="65"/>
      <c r="X24" s="59"/>
      <c r="Y24" s="56">
        <f>MAX(Y3:Y22)</f>
        <v>1.5001106825079527</v>
      </c>
      <c r="Z24" s="56"/>
      <c r="AA24" s="56"/>
      <c r="AB24" s="61"/>
      <c r="AC24" s="59"/>
      <c r="AD24" s="100">
        <f>MAX(AD3:AD22)</f>
        <v>17.467691381484435</v>
      </c>
      <c r="AE24" s="56"/>
      <c r="AF24" s="56"/>
      <c r="AG24" s="59"/>
      <c r="AH24" s="56">
        <f>MAX(AH3:AH22)</f>
        <v>1.3432902210150433</v>
      </c>
      <c r="AI24" s="56"/>
      <c r="AJ24" s="56"/>
      <c r="AK24" s="61"/>
      <c r="AL24" s="67"/>
      <c r="AM24" s="56">
        <f>MAX(AM3:AM22)</f>
        <v>246.67982649604323</v>
      </c>
      <c r="AN24" s="56"/>
      <c r="AO24" s="56"/>
      <c r="AP24" s="59"/>
      <c r="AQ24" s="65">
        <f>MAX(AQ3:AQ22)</f>
        <v>3.2422152336025536</v>
      </c>
      <c r="AR24" s="56"/>
      <c r="AS24" s="56"/>
      <c r="AT24" s="61"/>
      <c r="AU24" s="61"/>
      <c r="AV24" s="59"/>
    </row>
    <row r="25" spans="1:48">
      <c r="B25" s="59" t="s">
        <v>403</v>
      </c>
      <c r="C25" s="56">
        <f>C23+STDEV(C3:C22)</f>
        <v>0.37941611406739167</v>
      </c>
      <c r="D25" s="56">
        <f>C27</f>
        <v>0.37941611406739167</v>
      </c>
      <c r="E25" s="56">
        <f>C27</f>
        <v>0.37941611406739167</v>
      </c>
      <c r="F25" s="56"/>
      <c r="G25" s="56">
        <f>G23+STDEV(G3:G22)</f>
        <v>6.1328896351509746E-2</v>
      </c>
      <c r="H25" s="56">
        <f>G27</f>
        <v>6.1328896351509746E-2</v>
      </c>
      <c r="I25" s="56">
        <f>G27</f>
        <v>6.1328896351509746E-2</v>
      </c>
      <c r="J25" s="56"/>
      <c r="K25" s="59"/>
      <c r="L25" s="56">
        <f>L23+STDEV(L3:L22)</f>
        <v>3.9323808746279392</v>
      </c>
      <c r="M25" s="56">
        <f>L27</f>
        <v>3.9323808746279392</v>
      </c>
      <c r="N25" s="56">
        <f>L27</f>
        <v>3.9323808746279392</v>
      </c>
      <c r="O25" s="59"/>
      <c r="P25" s="56">
        <f>P23+STDEV(P3:P22)</f>
        <v>0.16479555907735294</v>
      </c>
      <c r="Q25" s="56">
        <f>P27</f>
        <v>0.16479555907735294</v>
      </c>
      <c r="R25" s="56">
        <f>P27</f>
        <v>0.16479555907735294</v>
      </c>
      <c r="S25" s="56"/>
      <c r="T25" s="59"/>
      <c r="U25" s="56">
        <f>AVERAGE(U3:U22)+STDEV(U3:U22)</f>
        <v>0.14819945194431228</v>
      </c>
      <c r="V25" s="65">
        <f>U27</f>
        <v>0.14819945194431228</v>
      </c>
      <c r="W25" s="65">
        <f>U27</f>
        <v>0.14819945194431228</v>
      </c>
      <c r="X25" s="59"/>
      <c r="Y25" s="56">
        <f>AVERAGE(Y3:Y22)+STDEV(Y3:Y22)</f>
        <v>0.94355944935162328</v>
      </c>
      <c r="Z25" s="56">
        <f>Y27</f>
        <v>0.94355944935162328</v>
      </c>
      <c r="AA25" s="56">
        <f>Y27</f>
        <v>0.94355944935162328</v>
      </c>
      <c r="AB25" s="61"/>
      <c r="AC25" s="59"/>
      <c r="AD25" s="56">
        <f>AVERAGE(AD3:AD22)+STDEV(AD3:AD22)</f>
        <v>14.670774908772156</v>
      </c>
      <c r="AE25" s="56">
        <f>AD27</f>
        <v>14.670774908772156</v>
      </c>
      <c r="AF25" s="56">
        <f>AD27</f>
        <v>14.670774908772156</v>
      </c>
      <c r="AG25" s="59"/>
      <c r="AH25" s="56">
        <f>AVERAGE(AH3:AH22)+STDEV(AH3:AH22)</f>
        <v>0.86598768124333825</v>
      </c>
      <c r="AI25" s="56">
        <f>AH27</f>
        <v>0.86598768124333825</v>
      </c>
      <c r="AJ25" s="56">
        <f>AH27</f>
        <v>0.86598768124333825</v>
      </c>
      <c r="AK25" s="61"/>
      <c r="AL25" s="67"/>
      <c r="AM25" s="56">
        <f>AVERAGE(AM3:AM22)+STDEV(AM3:AM22)</f>
        <v>192.21622980088785</v>
      </c>
      <c r="AN25" s="56">
        <f>AM27</f>
        <v>110</v>
      </c>
      <c r="AO25" s="56">
        <f>AM27</f>
        <v>110</v>
      </c>
      <c r="AP25" s="59"/>
      <c r="AQ25" s="56">
        <f>AVERAGE(AQ3:AQ22)+STDEV(AQ3:AQ22)</f>
        <v>1.4931384272218557</v>
      </c>
      <c r="AR25" s="56">
        <f>AQ27</f>
        <v>1.4931384272218557</v>
      </c>
      <c r="AS25" s="56">
        <f>AQ27</f>
        <v>1.4931384272218557</v>
      </c>
      <c r="AT25" s="61"/>
      <c r="AU25" s="61"/>
      <c r="AV25" s="59"/>
    </row>
    <row r="26" spans="1:48">
      <c r="B26" s="59" t="s">
        <v>404</v>
      </c>
      <c r="C26" s="56">
        <v>0</v>
      </c>
      <c r="D26" s="61"/>
      <c r="E26" s="61"/>
      <c r="F26" s="61"/>
      <c r="G26" s="56">
        <v>0</v>
      </c>
      <c r="H26" s="61"/>
      <c r="I26" s="61"/>
      <c r="J26" s="61"/>
      <c r="K26" s="59"/>
      <c r="L26" s="56">
        <v>0</v>
      </c>
      <c r="M26" s="61"/>
      <c r="N26" s="61"/>
      <c r="O26" s="59"/>
      <c r="P26" s="56">
        <v>0</v>
      </c>
      <c r="Q26" s="61"/>
      <c r="R26" s="61"/>
      <c r="S26" s="61"/>
      <c r="T26" s="59"/>
      <c r="U26" s="56">
        <v>0</v>
      </c>
      <c r="V26" s="61"/>
      <c r="W26" s="61"/>
      <c r="X26" s="61" t="s">
        <v>286</v>
      </c>
      <c r="Y26" s="61">
        <v>0</v>
      </c>
      <c r="Z26" s="61"/>
      <c r="AA26" s="61"/>
      <c r="AB26" s="61"/>
      <c r="AC26" s="61"/>
      <c r="AD26" s="100">
        <v>0</v>
      </c>
      <c r="AE26" s="61"/>
      <c r="AF26" s="61"/>
      <c r="AG26" s="61"/>
      <c r="AH26" s="56">
        <v>0</v>
      </c>
      <c r="AI26" s="61"/>
      <c r="AJ26" s="61"/>
      <c r="AK26" s="61"/>
      <c r="AL26" s="67"/>
      <c r="AM26" s="56">
        <v>110</v>
      </c>
      <c r="AN26" s="61"/>
      <c r="AO26" s="61"/>
      <c r="AP26" s="61"/>
      <c r="AQ26" s="65">
        <v>0</v>
      </c>
      <c r="AR26" s="61"/>
      <c r="AS26" s="61"/>
      <c r="AT26" s="61"/>
      <c r="AU26" s="61"/>
    </row>
    <row r="27" spans="1:48">
      <c r="B27" s="59" t="s">
        <v>405</v>
      </c>
      <c r="C27" s="56">
        <f>IF(C26&gt;0,C26,C25)</f>
        <v>0.37941611406739167</v>
      </c>
      <c r="D27" s="61"/>
      <c r="E27" s="61"/>
      <c r="F27" s="61"/>
      <c r="G27" s="56">
        <f>IF(G26&gt;0,G26,G25)</f>
        <v>6.1328896351509746E-2</v>
      </c>
      <c r="H27" s="61"/>
      <c r="I27" s="61"/>
      <c r="J27" s="61"/>
      <c r="K27" s="59"/>
      <c r="L27" s="56">
        <f>IF(L26&gt;0,L26,L25)</f>
        <v>3.9323808746279392</v>
      </c>
      <c r="M27" s="56"/>
      <c r="N27" s="61"/>
      <c r="O27" s="59"/>
      <c r="P27" s="56">
        <f>IF(P26&gt;0,P26,P25)</f>
        <v>0.16479555907735294</v>
      </c>
      <c r="Q27" s="56"/>
      <c r="R27" s="61"/>
      <c r="S27" s="61"/>
      <c r="T27" s="59"/>
      <c r="U27" s="99">
        <f>IF(U26&gt;0,U26,U25)</f>
        <v>0.14819945194431228</v>
      </c>
      <c r="V27" s="61"/>
      <c r="W27" s="61"/>
      <c r="X27" s="61" t="s">
        <v>287</v>
      </c>
      <c r="Y27" s="56">
        <f>IF(Y26&gt;0,Y26,Y25)</f>
        <v>0.94355944935162328</v>
      </c>
      <c r="Z27" s="61"/>
      <c r="AA27" s="61"/>
      <c r="AB27" s="61"/>
      <c r="AC27" s="61"/>
      <c r="AD27" s="100">
        <f>IF(AD26&gt;0,AD26,AD25)</f>
        <v>14.670774908772156</v>
      </c>
      <c r="AE27" s="61"/>
      <c r="AF27" s="61"/>
      <c r="AG27" s="61"/>
      <c r="AH27" s="56">
        <f>IF(AH26&gt;0,AH26,AH25)</f>
        <v>0.86598768124333825</v>
      </c>
      <c r="AI27" s="61"/>
      <c r="AJ27" s="61"/>
      <c r="AK27" s="61"/>
      <c r="AL27" s="67"/>
      <c r="AM27" s="56">
        <f>IF(AM26&gt;0,AM26,AM25)</f>
        <v>110</v>
      </c>
      <c r="AN27" s="61"/>
      <c r="AO27" s="61"/>
      <c r="AP27" s="61"/>
      <c r="AQ27" s="65">
        <f>IF(AQ26&gt;0,AQ26,AQ25)</f>
        <v>1.4931384272218557</v>
      </c>
      <c r="AR27" s="61"/>
      <c r="AS27" s="61"/>
      <c r="AT27" s="61"/>
      <c r="AU27" s="61"/>
    </row>
    <row r="28" spans="1:48">
      <c r="B28" s="59" t="s">
        <v>406</v>
      </c>
      <c r="C28" s="46"/>
      <c r="D28" s="49">
        <v>100</v>
      </c>
      <c r="E28" s="49">
        <v>0.2</v>
      </c>
      <c r="F28" s="47"/>
      <c r="G28" s="46"/>
      <c r="H28" s="49">
        <v>100</v>
      </c>
      <c r="I28" s="49">
        <v>0.2</v>
      </c>
      <c r="J28" s="59" t="s">
        <v>412</v>
      </c>
      <c r="K28" s="36">
        <v>1</v>
      </c>
      <c r="L28" s="47"/>
      <c r="M28" s="49">
        <v>100</v>
      </c>
      <c r="N28" s="49">
        <v>0.2</v>
      </c>
      <c r="P28" s="47"/>
      <c r="Q28" s="49">
        <v>100</v>
      </c>
      <c r="R28" s="49">
        <v>0.2</v>
      </c>
      <c r="S28" s="59" t="s">
        <v>411</v>
      </c>
      <c r="T28" s="36">
        <v>1</v>
      </c>
      <c r="U28" s="46"/>
      <c r="V28" s="49">
        <v>0.2</v>
      </c>
      <c r="W28" s="49">
        <v>100</v>
      </c>
      <c r="X28" s="47"/>
      <c r="Y28" s="47"/>
      <c r="Z28" s="49">
        <v>0.2</v>
      </c>
      <c r="AA28" s="49">
        <v>100</v>
      </c>
      <c r="AB28" s="59" t="s">
        <v>410</v>
      </c>
      <c r="AC28" s="49">
        <v>1</v>
      </c>
      <c r="AD28" s="50"/>
      <c r="AE28" s="49">
        <v>0.2</v>
      </c>
      <c r="AF28" s="49">
        <v>100</v>
      </c>
      <c r="AG28" s="47"/>
      <c r="AH28" s="47"/>
      <c r="AI28" s="49">
        <v>0.2</v>
      </c>
      <c r="AJ28" s="49">
        <v>100</v>
      </c>
      <c r="AK28" s="59" t="s">
        <v>409</v>
      </c>
      <c r="AL28" s="48">
        <v>1</v>
      </c>
      <c r="AM28" s="46"/>
      <c r="AN28" s="49">
        <v>0.2</v>
      </c>
      <c r="AO28" s="49">
        <v>100</v>
      </c>
      <c r="AP28" s="47"/>
      <c r="AQ28" s="47"/>
      <c r="AR28" s="49">
        <v>0.2</v>
      </c>
      <c r="AS28" s="49">
        <v>100</v>
      </c>
      <c r="AT28" s="59" t="s">
        <v>408</v>
      </c>
      <c r="AU28" s="45">
        <v>1</v>
      </c>
    </row>
    <row r="29" spans="1:48" ht="15" thickBot="1">
      <c r="B29" s="59" t="s">
        <v>407</v>
      </c>
      <c r="C29" s="51" t="s">
        <v>372</v>
      </c>
      <c r="G29" s="51" t="s">
        <v>372</v>
      </c>
      <c r="L29" s="51" t="s">
        <v>372</v>
      </c>
      <c r="P29" s="51" t="s">
        <v>372</v>
      </c>
      <c r="U29" s="52" t="s">
        <v>371</v>
      </c>
      <c r="Y29" s="52" t="s">
        <v>371</v>
      </c>
      <c r="AD29" s="52" t="s">
        <v>371</v>
      </c>
      <c r="AH29" s="52" t="s">
        <v>371</v>
      </c>
      <c r="AM29" s="52" t="s">
        <v>371</v>
      </c>
      <c r="AQ29" s="52" t="s">
        <v>371</v>
      </c>
    </row>
    <row r="33" spans="11:12" ht="15">
      <c r="L33" s="53"/>
    </row>
    <row r="34" spans="11:12" ht="15">
      <c r="L34" s="53"/>
    </row>
    <row r="35" spans="11:12" ht="15">
      <c r="L35" s="53"/>
    </row>
    <row r="39" spans="11:12">
      <c r="K39" s="41"/>
    </row>
  </sheetData>
  <sheetProtection algorithmName="SHA-512" hashValue="u692bHr+a3JVI+Gz4fPvusH8EPKK6VMGyoHF2NZl0oNNQ853hD5rUrqgBlUNsKWuvIhf93XW1RbC38T+uAL9Sg==" saltValue="nhC3OMMUnMXIQw5jhUHDsw==" spinCount="100000" sheet="1" objects="1" scenarios="1"/>
  <sortState ref="B38:B53">
    <sortCondition ref="B38"/>
  </sortState>
  <mergeCells count="6">
    <mergeCell ref="AM1:AU1"/>
    <mergeCell ref="AD1:AL1"/>
    <mergeCell ref="A1:B1"/>
    <mergeCell ref="C1:K1"/>
    <mergeCell ref="L1:T1"/>
    <mergeCell ref="U1:AC1"/>
  </mergeCells>
  <phoneticPr fontId="7" type="noConversion"/>
  <hyperlinks>
    <hyperlink ref="B4:B18" r:id="rId1" tooltip="Argentina" display="https://es.wikipedia.org/wiki/Argentina"/>
  </hyperlinks>
  <pageMargins left="0.511811024" right="0.511811024" top="0.78740157499999996" bottom="0.78740157499999996" header="0.31496062000000002" footer="0.31496062000000002"/>
  <pageSetup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4"/>
  <dimension ref="A1:BH38"/>
  <sheetViews>
    <sheetView tabSelected="1" topLeftCell="B1" zoomScale="55" zoomScaleNormal="55" workbookViewId="0">
      <selection activeCell="L41" sqref="L41"/>
    </sheetView>
  </sheetViews>
  <sheetFormatPr defaultColWidth="7.125" defaultRowHeight="14.25"/>
  <cols>
    <col min="1" max="1" width="8.875" style="71" hidden="1" customWidth="1"/>
    <col min="2" max="2" width="8.875" style="71" customWidth="1"/>
    <col min="3" max="3" width="10.125" style="71" bestFit="1" customWidth="1"/>
    <col min="4" max="12" width="7.125" style="71"/>
    <col min="13" max="13" width="10.375" style="71" customWidth="1"/>
    <col min="14" max="14" width="0.375" style="71" customWidth="1"/>
    <col min="15" max="15" width="7.125" style="71" customWidth="1"/>
    <col min="16" max="16" width="6.5" style="71" customWidth="1"/>
    <col min="17" max="17" width="6.125" style="71" customWidth="1"/>
    <col min="18" max="18" width="15.375" style="71" customWidth="1"/>
    <col min="19" max="19" width="0.875" style="71" hidden="1" customWidth="1"/>
    <col min="20" max="20" width="8.5" style="71" customWidth="1"/>
    <col min="21" max="21" width="9" style="71" hidden="1" customWidth="1"/>
    <col min="22" max="22" width="10.875" style="71" customWidth="1"/>
    <col min="23" max="23" width="8.125" style="71" hidden="1" customWidth="1"/>
    <col min="24" max="24" width="12.875" style="71" customWidth="1"/>
    <col min="25" max="25" width="11.125" style="88" customWidth="1"/>
    <col min="26" max="26" width="8.875" style="71" hidden="1" customWidth="1"/>
    <col min="27" max="27" width="8.125" style="71" customWidth="1"/>
    <col min="28" max="28" width="8.875" style="71" hidden="1" customWidth="1"/>
    <col min="29" max="29" width="13.125" style="71" customWidth="1"/>
    <col min="30" max="30" width="9.5" style="71" bestFit="1" customWidth="1"/>
    <col min="31" max="31" width="7.125" style="71" hidden="1" customWidth="1"/>
    <col min="32" max="32" width="8.875" style="71" customWidth="1"/>
    <col min="33" max="33" width="7.125" style="71" hidden="1" customWidth="1"/>
    <col min="34" max="34" width="13.125" style="71" customWidth="1"/>
    <col min="35" max="35" width="8.625" style="71" customWidth="1"/>
    <col min="36" max="36" width="10" style="71" hidden="1" customWidth="1"/>
    <col min="37" max="37" width="9.375" style="71" customWidth="1"/>
    <col min="38" max="38" width="7.5" style="71" hidden="1" customWidth="1"/>
    <col min="39" max="39" width="14" style="71" customWidth="1"/>
    <col min="40" max="40" width="12" style="71" bestFit="1" customWidth="1"/>
    <col min="41" max="41" width="7.125" style="71" hidden="1" customWidth="1"/>
    <col min="42" max="42" width="8.5" style="71" customWidth="1"/>
    <col min="43" max="43" width="7.125" style="71" hidden="1" customWidth="1"/>
    <col min="44" max="44" width="13.5" style="71" customWidth="1"/>
    <col min="45" max="45" width="8.875" style="71" customWidth="1"/>
    <col min="46" max="46" width="12.875" style="71" hidden="1" customWidth="1"/>
    <col min="47" max="47" width="13.125" style="95" customWidth="1"/>
    <col min="48" max="48" width="10" style="71" customWidth="1"/>
    <col min="49" max="49" width="5.5" style="71" customWidth="1"/>
    <col min="50" max="54" width="7.5" style="71" bestFit="1" customWidth="1"/>
    <col min="55" max="55" width="7.5" style="71" customWidth="1"/>
    <col min="56" max="56" width="9.875" style="71" customWidth="1"/>
    <col min="57" max="57" width="7.125" style="71" customWidth="1"/>
    <col min="58" max="16384" width="7.125" style="71"/>
  </cols>
  <sheetData>
    <row r="1" spans="17:60" ht="15">
      <c r="Q1" s="112" t="s">
        <v>288</v>
      </c>
      <c r="R1" s="114" t="s">
        <v>420</v>
      </c>
      <c r="S1" s="70" t="s">
        <v>289</v>
      </c>
      <c r="T1" s="116" t="str">
        <f>Calculation!C1</f>
        <v>ENVIRONMENT AS PROVIDER ( Sector 1)</v>
      </c>
      <c r="U1" s="117"/>
      <c r="V1" s="117"/>
      <c r="W1" s="117"/>
      <c r="X1" s="117"/>
      <c r="Y1" s="116" t="str">
        <f>Calculation!L1</f>
        <v>ENVIRONMENT AS RECEIVER (Sector 2)</v>
      </c>
      <c r="Z1" s="117"/>
      <c r="AA1" s="117"/>
      <c r="AB1" s="117"/>
      <c r="AC1" s="117"/>
      <c r="AD1" s="116" t="str">
        <f>Calculation!U1</f>
        <v>PRODUCTION SYSTEM (Sector 3)</v>
      </c>
      <c r="AE1" s="117"/>
      <c r="AF1" s="117"/>
      <c r="AG1" s="117"/>
      <c r="AH1" s="117"/>
      <c r="AI1" s="116" t="str">
        <f>Calculation!AD1</f>
        <v>SOCIETY AS PROVIDER  (Sector 4)</v>
      </c>
      <c r="AJ1" s="117"/>
      <c r="AK1" s="117"/>
      <c r="AL1" s="117"/>
      <c r="AM1" s="117"/>
      <c r="AN1" s="116" t="str">
        <f>Calculation!AM1</f>
        <v>SOCIETY AS RECEIVER (Sector 5)</v>
      </c>
      <c r="AO1" s="116"/>
      <c r="AP1" s="116"/>
      <c r="AQ1" s="116"/>
      <c r="AR1" s="116"/>
      <c r="AS1" s="98" t="s">
        <v>285</v>
      </c>
      <c r="AT1" s="110" t="s">
        <v>326</v>
      </c>
      <c r="AU1" s="106" t="s">
        <v>393</v>
      </c>
    </row>
    <row r="2" spans="17:60" ht="15.75" thickBot="1">
      <c r="Q2" s="113"/>
      <c r="R2" s="115"/>
      <c r="S2" s="72"/>
      <c r="T2" s="37" t="s">
        <v>330</v>
      </c>
      <c r="U2" s="72" t="s">
        <v>341</v>
      </c>
      <c r="V2" s="37" t="s">
        <v>342</v>
      </c>
      <c r="W2" s="72" t="s">
        <v>345</v>
      </c>
      <c r="X2" s="73" t="s">
        <v>291</v>
      </c>
      <c r="Y2" s="37" t="s">
        <v>331</v>
      </c>
      <c r="Z2" s="72" t="s">
        <v>348</v>
      </c>
      <c r="AA2" s="37" t="s">
        <v>332</v>
      </c>
      <c r="AB2" s="72" t="s">
        <v>370</v>
      </c>
      <c r="AC2" s="73" t="s">
        <v>292</v>
      </c>
      <c r="AD2" s="37" t="s">
        <v>333</v>
      </c>
      <c r="AE2" s="72" t="s">
        <v>354</v>
      </c>
      <c r="AF2" s="37" t="s">
        <v>334</v>
      </c>
      <c r="AG2" s="72" t="s">
        <v>357</v>
      </c>
      <c r="AH2" s="73" t="s">
        <v>293</v>
      </c>
      <c r="AI2" s="37" t="s">
        <v>335</v>
      </c>
      <c r="AJ2" s="72" t="s">
        <v>360</v>
      </c>
      <c r="AK2" s="37" t="s">
        <v>336</v>
      </c>
      <c r="AL2" s="72" t="s">
        <v>363</v>
      </c>
      <c r="AM2" s="73" t="s">
        <v>294</v>
      </c>
      <c r="AN2" s="37" t="s">
        <v>337</v>
      </c>
      <c r="AO2" s="72" t="s">
        <v>366</v>
      </c>
      <c r="AP2" s="37" t="s">
        <v>338</v>
      </c>
      <c r="AQ2" s="72" t="s">
        <v>369</v>
      </c>
      <c r="AR2" s="73" t="s">
        <v>295</v>
      </c>
      <c r="AS2" s="105"/>
      <c r="AT2" s="111"/>
      <c r="AU2" s="107" t="s">
        <v>394</v>
      </c>
      <c r="AV2" s="92" t="s">
        <v>395</v>
      </c>
      <c r="AW2" s="92" t="s">
        <v>421</v>
      </c>
      <c r="AX2" s="92" t="s">
        <v>373</v>
      </c>
      <c r="AY2" s="92" t="s">
        <v>374</v>
      </c>
      <c r="AZ2" s="92" t="s">
        <v>375</v>
      </c>
      <c r="BA2" s="92" t="s">
        <v>376</v>
      </c>
      <c r="BB2" s="92" t="s">
        <v>377</v>
      </c>
      <c r="BC2" s="92"/>
      <c r="BD2" s="92" t="s">
        <v>373</v>
      </c>
      <c r="BE2" s="92" t="s">
        <v>374</v>
      </c>
      <c r="BF2" s="92" t="s">
        <v>375</v>
      </c>
      <c r="BG2" s="92" t="s">
        <v>376</v>
      </c>
      <c r="BH2" s="92" t="s">
        <v>377</v>
      </c>
    </row>
    <row r="3" spans="17:60" ht="15.75">
      <c r="Q3" s="74">
        <v>1</v>
      </c>
      <c r="R3" s="75" t="s">
        <v>380</v>
      </c>
      <c r="S3" s="78">
        <v>1</v>
      </c>
      <c r="T3" s="76">
        <v>0.31469999999999998</v>
      </c>
      <c r="U3" s="78">
        <v>1.705676476774438E-3</v>
      </c>
      <c r="V3" s="78">
        <v>8.4183848020862914E-2</v>
      </c>
      <c r="W3" s="78">
        <v>1.8633102035913729</v>
      </c>
      <c r="X3" s="85">
        <v>1.8650158800681473</v>
      </c>
      <c r="Y3" s="79">
        <v>4.8249909052882662</v>
      </c>
      <c r="Z3" s="78">
        <v>1.1349485961793833</v>
      </c>
      <c r="AA3" s="76">
        <v>0.17070867966478537</v>
      </c>
      <c r="AB3" s="78">
        <v>0.17940776500709241</v>
      </c>
      <c r="AC3" s="85">
        <v>1.3143563611864757</v>
      </c>
      <c r="AD3" s="80">
        <v>0.20805017309953533</v>
      </c>
      <c r="AE3" s="78">
        <v>4.0385251342031064E-3</v>
      </c>
      <c r="AF3" s="81">
        <v>1.5001106825079527</v>
      </c>
      <c r="AG3" s="78">
        <v>5.8984225481369442E-3</v>
      </c>
      <c r="AH3" s="85">
        <v>9.9369476823400506E-3</v>
      </c>
      <c r="AI3" s="80">
        <v>17.12764940435623</v>
      </c>
      <c r="AJ3" s="77">
        <v>1.6746726133157598E-3</v>
      </c>
      <c r="AK3" s="76">
        <v>0.45795778405882648</v>
      </c>
      <c r="AL3" s="78">
        <v>2.3558643270692055</v>
      </c>
      <c r="AM3" s="85">
        <v>2.3575389996825211</v>
      </c>
      <c r="AN3" s="80">
        <v>135.74787768396968</v>
      </c>
      <c r="AO3" s="78">
        <v>2.3407161530881525E-3</v>
      </c>
      <c r="AP3" s="76">
        <v>0.91106168353121775</v>
      </c>
      <c r="AQ3" s="78">
        <v>1.9491720696441193</v>
      </c>
      <c r="AR3" s="85">
        <v>1.9515127857972074</v>
      </c>
      <c r="AS3" s="105">
        <v>7.4983609744166912</v>
      </c>
      <c r="AT3" s="91">
        <f t="shared" ref="AT3:AT22" si="0">IF(X3="",0,X3)+IF(AC3="",0,AC3)+IF(AH3="",0,AH3)+IF(AM3="",0,AM3)+IF(AR3="",0,AR3)</f>
        <v>7.4983609744166912</v>
      </c>
      <c r="AU3" s="96" t="str">
        <f t="shared" ref="AU3:AU22" si="1">IF(AND(AT3&gt;=AT$25,AT3&lt;=AT$23-AT$24),"High",IF(AND(AT3&gt;AT$23-AT$24,AT3&lt;=AT$23+AT$24),"Medium","Low"))</f>
        <v>High</v>
      </c>
      <c r="AV3" s="93" t="str">
        <f t="shared" ref="AV3:AV22" si="2" xml:space="preserve"> R3</f>
        <v>CORSAN</v>
      </c>
      <c r="AW3" s="94">
        <f t="shared" ref="AW3:AW22" si="3">Q3</f>
        <v>1</v>
      </c>
      <c r="AX3" s="94">
        <f t="shared" ref="AX3:AX22" si="4">21-_xlfn.RANK.EQ(X3,X$3:X$22)</f>
        <v>8</v>
      </c>
      <c r="AY3" s="94">
        <f t="shared" ref="AY3:AY22" si="5">21-_xlfn.RANK.EQ(AC3,AC$3:AC$22)</f>
        <v>12</v>
      </c>
      <c r="AZ3" s="94">
        <f t="shared" ref="AZ3:AZ22" si="6">21-_xlfn.RANK.EQ(AH3,AH$3:AH$22)</f>
        <v>1</v>
      </c>
      <c r="BA3" s="94">
        <f t="shared" ref="BA3:BA22" si="7">21-_xlfn.RANK.EQ(AM3,AM$3:AM$22)</f>
        <v>7</v>
      </c>
      <c r="BB3" s="94">
        <f t="shared" ref="BB3:BB22" si="8">21-_xlfn.RANK.EQ(AR3,AR$3:AR$22)</f>
        <v>6</v>
      </c>
      <c r="BC3" s="94" t="str">
        <f>OrdenStr(AW3)</f>
        <v xml:space="preserve"> 1st</v>
      </c>
      <c r="BD3" s="92" t="str">
        <f t="shared" ref="BD3:BD22" si="9">OrdenStr(AX3)</f>
        <v xml:space="preserve"> 8th</v>
      </c>
      <c r="BE3" s="92" t="str">
        <f t="shared" ref="BE3:BE22" si="10">OrdenStr(AY3)</f>
        <v xml:space="preserve"> 12th</v>
      </c>
      <c r="BF3" s="92" t="str">
        <f t="shared" ref="BF3:BF22" si="11">OrdenStr(AZ3)</f>
        <v xml:space="preserve"> 1st</v>
      </c>
      <c r="BG3" s="92" t="str">
        <f t="shared" ref="BG3:BG22" si="12">OrdenStr(BA3)</f>
        <v xml:space="preserve"> 7th</v>
      </c>
      <c r="BH3" s="92" t="str">
        <f t="shared" ref="BH3:BH19" si="13">OrdenStr(BB3)</f>
        <v xml:space="preserve"> 6th</v>
      </c>
    </row>
    <row r="4" spans="17:60" ht="15.75">
      <c r="Q4" s="83">
        <v>2</v>
      </c>
      <c r="R4" s="84" t="s">
        <v>253</v>
      </c>
      <c r="S4" s="78">
        <v>2</v>
      </c>
      <c r="T4" s="78">
        <v>0.39740000000000003</v>
      </c>
      <c r="U4" s="78">
        <v>0.23699422963113881</v>
      </c>
      <c r="V4" s="78">
        <v>9.47167446985855E-2</v>
      </c>
      <c r="W4" s="78">
        <v>2.7220323806017617</v>
      </c>
      <c r="X4" s="97">
        <v>2.9590266102329004</v>
      </c>
      <c r="Y4" s="86">
        <v>3.3621914181822268</v>
      </c>
      <c r="Z4" s="78">
        <v>1.4499853260009068E-3</v>
      </c>
      <c r="AA4" s="78">
        <v>0.12332002497185622</v>
      </c>
      <c r="AB4" s="78">
        <v>2.5167871232518245E-3</v>
      </c>
      <c r="AC4" s="85">
        <v>3.9667724492527309E-3</v>
      </c>
      <c r="AD4" s="81">
        <v>0.10111739436024302</v>
      </c>
      <c r="AE4" s="78">
        <v>1.5884693555331402</v>
      </c>
      <c r="AF4" s="81">
        <v>0.83541289725823176</v>
      </c>
      <c r="AG4" s="78">
        <v>0.57307757432616224</v>
      </c>
      <c r="AH4" s="85">
        <v>2.1615469298593024</v>
      </c>
      <c r="AI4" s="81">
        <v>11.669919228754642</v>
      </c>
      <c r="AJ4" s="77">
        <v>1.0227325068641058</v>
      </c>
      <c r="AK4" s="78">
        <v>0.43532089583891359</v>
      </c>
      <c r="AL4" s="78">
        <v>2.486564155197315</v>
      </c>
      <c r="AM4" s="85">
        <v>3.5092966620614208</v>
      </c>
      <c r="AN4" s="81">
        <v>184.37146278404322</v>
      </c>
      <c r="AO4" s="78">
        <v>6.7610420712766557E-3</v>
      </c>
      <c r="AP4" s="78">
        <v>0.8031985530164133</v>
      </c>
      <c r="AQ4" s="78">
        <v>2.3103680865314997</v>
      </c>
      <c r="AR4" s="85">
        <v>2.3171291286027764</v>
      </c>
      <c r="AS4" s="105">
        <v>10.950966103205651</v>
      </c>
      <c r="AT4" s="91">
        <f t="shared" si="0"/>
        <v>10.950966103205651</v>
      </c>
      <c r="AU4" s="96" t="str">
        <f t="shared" si="1"/>
        <v>High</v>
      </c>
      <c r="AV4" s="93" t="str">
        <f t="shared" si="2"/>
        <v>CASAN</v>
      </c>
      <c r="AW4" s="94">
        <f t="shared" si="3"/>
        <v>2</v>
      </c>
      <c r="AX4" s="94">
        <f t="shared" si="4"/>
        <v>11</v>
      </c>
      <c r="AY4" s="94">
        <f t="shared" si="5"/>
        <v>4</v>
      </c>
      <c r="AZ4" s="94">
        <f t="shared" si="6"/>
        <v>4</v>
      </c>
      <c r="BA4" s="94">
        <f t="shared" si="7"/>
        <v>10</v>
      </c>
      <c r="BB4" s="94">
        <f t="shared" si="8"/>
        <v>12</v>
      </c>
      <c r="BC4" s="94" t="str">
        <f t="shared" ref="BC4:BC22" si="14">OrdenStr(AW4)</f>
        <v xml:space="preserve"> 2nd</v>
      </c>
      <c r="BD4" s="92" t="str">
        <f t="shared" si="9"/>
        <v xml:space="preserve"> 11th</v>
      </c>
      <c r="BE4" s="92" t="str">
        <f t="shared" si="10"/>
        <v xml:space="preserve"> 4th</v>
      </c>
      <c r="BF4" s="92" t="str">
        <f t="shared" si="11"/>
        <v xml:space="preserve"> 4th</v>
      </c>
      <c r="BG4" s="92" t="str">
        <f t="shared" si="12"/>
        <v xml:space="preserve"> 10th</v>
      </c>
      <c r="BH4" s="92" t="str">
        <f t="shared" si="13"/>
        <v xml:space="preserve"> 12th</v>
      </c>
    </row>
    <row r="5" spans="17:60" ht="15.75">
      <c r="Q5" s="83">
        <v>3</v>
      </c>
      <c r="R5" s="84" t="s">
        <v>386</v>
      </c>
      <c r="S5" s="78">
        <v>3</v>
      </c>
      <c r="T5" s="78">
        <v>0.3251</v>
      </c>
      <c r="U5" s="78">
        <v>1.431571091831489E-3</v>
      </c>
      <c r="V5" s="78">
        <v>8.2929173675087661E-2</v>
      </c>
      <c r="W5" s="78">
        <v>1.7610195689626311</v>
      </c>
      <c r="X5" s="97">
        <v>1.7624511400544627</v>
      </c>
      <c r="Y5" s="86">
        <v>3.5876165991895066</v>
      </c>
      <c r="Z5" s="78">
        <v>8.7673164535734933E-4</v>
      </c>
      <c r="AA5" s="78">
        <v>0.1441569173551113</v>
      </c>
      <c r="AB5" s="78">
        <v>1.2523785129764406E-3</v>
      </c>
      <c r="AC5" s="85">
        <v>2.1291101583337897E-3</v>
      </c>
      <c r="AD5" s="81">
        <v>0.12641296377455158</v>
      </c>
      <c r="AE5" s="78">
        <v>0.73503943111568426</v>
      </c>
      <c r="AF5" s="81">
        <v>0.58819727610791395</v>
      </c>
      <c r="AG5" s="78">
        <v>1.8830937122610565</v>
      </c>
      <c r="AH5" s="85">
        <v>2.618133143376741</v>
      </c>
      <c r="AI5" s="81">
        <v>7.6396730070987102</v>
      </c>
      <c r="AJ5" s="77">
        <v>2.3962953372930933</v>
      </c>
      <c r="AK5" s="78">
        <v>0.41886628998859193</v>
      </c>
      <c r="AL5" s="78">
        <v>2.5815690046121302</v>
      </c>
      <c r="AM5" s="85">
        <v>4.9778643419052235</v>
      </c>
      <c r="AN5" s="81">
        <v>168.14148383261912</v>
      </c>
      <c r="AO5" s="78">
        <v>5.2855894393290109E-3</v>
      </c>
      <c r="AP5" s="78">
        <v>0.84262023980007195</v>
      </c>
      <c r="AQ5" s="78">
        <v>2.1783586021295513</v>
      </c>
      <c r="AR5" s="85">
        <v>2.1836441915688805</v>
      </c>
      <c r="AS5" s="105">
        <v>11.54422192706364</v>
      </c>
      <c r="AT5" s="91">
        <f t="shared" si="0"/>
        <v>11.544221927063642</v>
      </c>
      <c r="AU5" s="96" t="str">
        <f t="shared" si="1"/>
        <v>High</v>
      </c>
      <c r="AV5" s="93" t="str">
        <f t="shared" si="2"/>
        <v>SANEPAR</v>
      </c>
      <c r="AW5" s="94">
        <f t="shared" si="3"/>
        <v>3</v>
      </c>
      <c r="AX5" s="94">
        <f t="shared" si="4"/>
        <v>7</v>
      </c>
      <c r="AY5" s="94">
        <f t="shared" si="5"/>
        <v>2</v>
      </c>
      <c r="AZ5" s="94">
        <f t="shared" si="6"/>
        <v>5</v>
      </c>
      <c r="BA5" s="94">
        <f t="shared" si="7"/>
        <v>14</v>
      </c>
      <c r="BB5" s="94">
        <f t="shared" si="8"/>
        <v>9</v>
      </c>
      <c r="BC5" s="94" t="str">
        <f t="shared" si="14"/>
        <v xml:space="preserve"> 3rd</v>
      </c>
      <c r="BD5" s="92" t="str">
        <f t="shared" si="9"/>
        <v xml:space="preserve"> 7th</v>
      </c>
      <c r="BE5" s="92" t="str">
        <f t="shared" si="10"/>
        <v xml:space="preserve"> 2nd</v>
      </c>
      <c r="BF5" s="92" t="str">
        <f t="shared" si="11"/>
        <v xml:space="preserve"> 5th</v>
      </c>
      <c r="BG5" s="92" t="str">
        <f t="shared" si="12"/>
        <v xml:space="preserve"> 14th</v>
      </c>
      <c r="BH5" s="92" t="str">
        <f t="shared" si="13"/>
        <v xml:space="preserve"> 9th</v>
      </c>
    </row>
    <row r="6" spans="17:60" ht="15.75">
      <c r="Q6" s="83">
        <v>4</v>
      </c>
      <c r="R6" s="84" t="s">
        <v>379</v>
      </c>
      <c r="S6" s="78">
        <v>4</v>
      </c>
      <c r="T6" s="78">
        <v>0.33640000000000003</v>
      </c>
      <c r="U6" s="78">
        <v>1.1337450485761694E-3</v>
      </c>
      <c r="V6" s="78">
        <v>7.6884697486809539E-2</v>
      </c>
      <c r="W6" s="78">
        <v>1.2682277083661275</v>
      </c>
      <c r="X6" s="97">
        <v>1.2693614534147037</v>
      </c>
      <c r="Y6" s="86">
        <v>4.5393513507300609</v>
      </c>
      <c r="Z6" s="78">
        <v>0.77175952108091517</v>
      </c>
      <c r="AA6" s="78">
        <v>0.16462746827228128</v>
      </c>
      <c r="AB6" s="78">
        <v>1.019995963560876E-5</v>
      </c>
      <c r="AC6" s="85">
        <v>0.77176972104055075</v>
      </c>
      <c r="AD6" s="81">
        <v>8.1567045227977919E-2</v>
      </c>
      <c r="AE6" s="78">
        <v>2.2480652202874638</v>
      </c>
      <c r="AF6" s="81">
        <v>0.71861046119980365</v>
      </c>
      <c r="AG6" s="78">
        <v>1.1920233977116952</v>
      </c>
      <c r="AH6" s="85">
        <v>3.4400886179991588</v>
      </c>
      <c r="AI6" s="81">
        <v>11.095577244000669</v>
      </c>
      <c r="AJ6" s="77">
        <v>1.2184760815305518</v>
      </c>
      <c r="AK6" s="78">
        <v>0.37118630242865419</v>
      </c>
      <c r="AL6" s="78">
        <v>2.8568615323965982</v>
      </c>
      <c r="AM6" s="85">
        <v>4.0753376139271502</v>
      </c>
      <c r="AN6" s="81">
        <v>151.92449314981047</v>
      </c>
      <c r="AO6" s="78">
        <v>3.8113175590736795E-3</v>
      </c>
      <c r="AP6" s="78">
        <v>0.53838079925221871</v>
      </c>
      <c r="AQ6" s="78">
        <v>3.1971504133949118</v>
      </c>
      <c r="AR6" s="85">
        <v>3.2009617309539853</v>
      </c>
      <c r="AS6" s="105">
        <v>12.757519137335549</v>
      </c>
      <c r="AT6" s="91">
        <f t="shared" si="0"/>
        <v>12.757519137335549</v>
      </c>
      <c r="AU6" s="96" t="str">
        <f t="shared" si="1"/>
        <v>Medium</v>
      </c>
      <c r="AV6" s="93" t="str">
        <f t="shared" si="2"/>
        <v>COPASA</v>
      </c>
      <c r="AW6" s="94">
        <f t="shared" si="3"/>
        <v>4</v>
      </c>
      <c r="AX6" s="94">
        <f t="shared" si="4"/>
        <v>4</v>
      </c>
      <c r="AY6" s="94">
        <f t="shared" si="5"/>
        <v>11</v>
      </c>
      <c r="AZ6" s="94">
        <f t="shared" si="6"/>
        <v>7</v>
      </c>
      <c r="BA6" s="94">
        <f t="shared" si="7"/>
        <v>12</v>
      </c>
      <c r="BB6" s="94">
        <f t="shared" si="8"/>
        <v>18</v>
      </c>
      <c r="BC6" s="94" t="str">
        <f t="shared" si="14"/>
        <v xml:space="preserve"> 4th</v>
      </c>
      <c r="BD6" s="92" t="str">
        <f t="shared" si="9"/>
        <v xml:space="preserve"> 4th</v>
      </c>
      <c r="BE6" s="92" t="str">
        <f t="shared" si="10"/>
        <v xml:space="preserve"> 11th</v>
      </c>
      <c r="BF6" s="92" t="str">
        <f t="shared" si="11"/>
        <v xml:space="preserve"> 7th</v>
      </c>
      <c r="BG6" s="92" t="str">
        <f t="shared" si="12"/>
        <v xml:space="preserve"> 12th</v>
      </c>
      <c r="BH6" s="92" t="str">
        <f t="shared" si="13"/>
        <v xml:space="preserve"> 18th</v>
      </c>
    </row>
    <row r="7" spans="17:60" ht="15.75">
      <c r="Q7" s="83">
        <v>5</v>
      </c>
      <c r="R7" s="84" t="s">
        <v>381</v>
      </c>
      <c r="S7" s="78">
        <v>5</v>
      </c>
      <c r="T7" s="78">
        <v>0.45899999999999996</v>
      </c>
      <c r="U7" s="78">
        <v>1.0487678696544849</v>
      </c>
      <c r="V7" s="78">
        <v>3.9297778599315054E-2</v>
      </c>
      <c r="W7" s="78">
        <v>3.5922899420726892E-3</v>
      </c>
      <c r="X7" s="97">
        <v>1.0523601595965575</v>
      </c>
      <c r="Y7" s="86">
        <v>3.6813309241085674</v>
      </c>
      <c r="Z7" s="78">
        <v>6.3841717911702726E-4</v>
      </c>
      <c r="AA7" s="78">
        <v>0.26901212430492211</v>
      </c>
      <c r="AB7" s="78">
        <v>3.1619955601671053</v>
      </c>
      <c r="AC7" s="85">
        <v>3.1626339773462222</v>
      </c>
      <c r="AD7" s="81">
        <v>0.23155630273226621</v>
      </c>
      <c r="AE7" s="78">
        <v>5.6246396119788806E-3</v>
      </c>
      <c r="AF7" s="81">
        <v>0.27001524074083116</v>
      </c>
      <c r="AG7" s="78">
        <v>3.569166781561167</v>
      </c>
      <c r="AH7" s="85">
        <v>3.574791421173146</v>
      </c>
      <c r="AI7" s="81">
        <v>13.142716751160581</v>
      </c>
      <c r="AJ7" s="77">
        <v>0.52078304217519444</v>
      </c>
      <c r="AK7" s="78">
        <v>1.3432902210150433</v>
      </c>
      <c r="AL7" s="78">
        <v>5.5116550744280773E-3</v>
      </c>
      <c r="AM7" s="85">
        <v>0.52629469724962252</v>
      </c>
      <c r="AN7" s="81">
        <v>122.01772507688456</v>
      </c>
      <c r="AO7" s="78">
        <v>1.09252046153496E-3</v>
      </c>
      <c r="AP7" s="78">
        <v>7.1923782624085303E-2</v>
      </c>
      <c r="AQ7" s="78">
        <v>4.7591523287030144</v>
      </c>
      <c r="AR7" s="85">
        <v>4.7602448491645495</v>
      </c>
      <c r="AS7" s="105">
        <v>13.076325104530099</v>
      </c>
      <c r="AT7" s="91">
        <f t="shared" si="0"/>
        <v>13.076325104530099</v>
      </c>
      <c r="AU7" s="96" t="str">
        <f t="shared" si="1"/>
        <v>Medium</v>
      </c>
      <c r="AV7" s="93" t="str">
        <f t="shared" si="2"/>
        <v>COSANPA</v>
      </c>
      <c r="AW7" s="94">
        <f t="shared" si="3"/>
        <v>5</v>
      </c>
      <c r="AX7" s="94">
        <f t="shared" si="4"/>
        <v>3</v>
      </c>
      <c r="AY7" s="94">
        <f t="shared" si="5"/>
        <v>17</v>
      </c>
      <c r="AZ7" s="94">
        <f t="shared" si="6"/>
        <v>8</v>
      </c>
      <c r="BA7" s="94">
        <f t="shared" si="7"/>
        <v>3</v>
      </c>
      <c r="BB7" s="94">
        <f t="shared" si="8"/>
        <v>20</v>
      </c>
      <c r="BC7" s="94" t="str">
        <f t="shared" si="14"/>
        <v xml:space="preserve"> 5th</v>
      </c>
      <c r="BD7" s="92" t="str">
        <f t="shared" si="9"/>
        <v xml:space="preserve"> 3rd</v>
      </c>
      <c r="BE7" s="92" t="str">
        <f t="shared" si="10"/>
        <v xml:space="preserve"> 17th</v>
      </c>
      <c r="BF7" s="92" t="str">
        <f t="shared" si="11"/>
        <v xml:space="preserve"> 8th</v>
      </c>
      <c r="BG7" s="92" t="str">
        <f t="shared" si="12"/>
        <v xml:space="preserve"> 3rd</v>
      </c>
      <c r="BH7" s="92" t="str">
        <f t="shared" si="13"/>
        <v xml:space="preserve"> 20th</v>
      </c>
    </row>
    <row r="8" spans="17:60" ht="15.75">
      <c r="Q8" s="83">
        <v>6</v>
      </c>
      <c r="R8" s="84" t="s">
        <v>385</v>
      </c>
      <c r="S8" s="78">
        <v>6</v>
      </c>
      <c r="T8" s="78">
        <v>0.28620000000000001</v>
      </c>
      <c r="U8" s="78">
        <v>2.4568306566661708E-3</v>
      </c>
      <c r="V8" s="78">
        <v>6.9809430612749732E-2</v>
      </c>
      <c r="W8" s="78">
        <v>0.69139791890541813</v>
      </c>
      <c r="X8" s="97">
        <v>0.69385474956208426</v>
      </c>
      <c r="Y8" s="86">
        <v>4.3316551176051181</v>
      </c>
      <c r="Z8" s="78">
        <v>0.50767493753381165</v>
      </c>
      <c r="AA8" s="78">
        <v>0.1620634351250112</v>
      </c>
      <c r="AB8" s="78">
        <v>1.657886879742501E-4</v>
      </c>
      <c r="AC8" s="85">
        <v>0.50784072622178589</v>
      </c>
      <c r="AD8" s="81">
        <v>-3.7282696829270053E-2</v>
      </c>
      <c r="AE8" s="78">
        <v>6.2578554218702322</v>
      </c>
      <c r="AF8" s="81">
        <v>0.8096211653582529</v>
      </c>
      <c r="AG8" s="78">
        <v>0.70975010681842809</v>
      </c>
      <c r="AH8" s="85">
        <v>6.9676055286886607</v>
      </c>
      <c r="AI8" s="81">
        <v>12.389225923795104</v>
      </c>
      <c r="AJ8" s="77">
        <v>0.77758298357261135</v>
      </c>
      <c r="AK8" s="78">
        <v>0.49199919922114843</v>
      </c>
      <c r="AL8" s="78">
        <v>2.1593175637627859</v>
      </c>
      <c r="AM8" s="85">
        <v>2.9369005473353971</v>
      </c>
      <c r="AN8" s="81">
        <v>140.80742906653057</v>
      </c>
      <c r="AO8" s="78">
        <v>2.8006753696845975E-3</v>
      </c>
      <c r="AP8" s="78">
        <v>0.90383684911326334</v>
      </c>
      <c r="AQ8" s="78">
        <v>1.9733655211226837</v>
      </c>
      <c r="AR8" s="85">
        <v>1.9761661964923682</v>
      </c>
      <c r="AS8" s="105">
        <v>13.082367748300294</v>
      </c>
      <c r="AT8" s="91">
        <f t="shared" si="0"/>
        <v>13.082367748300296</v>
      </c>
      <c r="AU8" s="96" t="str">
        <f t="shared" si="1"/>
        <v>Medium</v>
      </c>
      <c r="AV8" s="93" t="str">
        <f t="shared" si="2"/>
        <v>SANEAGO</v>
      </c>
      <c r="AW8" s="94">
        <f t="shared" si="3"/>
        <v>6</v>
      </c>
      <c r="AX8" s="94">
        <f t="shared" si="4"/>
        <v>1</v>
      </c>
      <c r="AY8" s="94">
        <f t="shared" si="5"/>
        <v>9</v>
      </c>
      <c r="AZ8" s="94">
        <f t="shared" si="6"/>
        <v>14</v>
      </c>
      <c r="BA8" s="94">
        <f t="shared" si="7"/>
        <v>9</v>
      </c>
      <c r="BB8" s="94">
        <f t="shared" si="8"/>
        <v>7</v>
      </c>
      <c r="BC8" s="94" t="str">
        <f t="shared" si="14"/>
        <v xml:space="preserve"> 6th</v>
      </c>
      <c r="BD8" s="92" t="str">
        <f t="shared" si="9"/>
        <v xml:space="preserve"> 1st</v>
      </c>
      <c r="BE8" s="92" t="str">
        <f t="shared" si="10"/>
        <v xml:space="preserve"> 9th</v>
      </c>
      <c r="BF8" s="92" t="str">
        <f t="shared" si="11"/>
        <v xml:space="preserve"> 14th</v>
      </c>
      <c r="BG8" s="92" t="str">
        <f t="shared" si="12"/>
        <v xml:space="preserve"> 9th</v>
      </c>
      <c r="BH8" s="92" t="str">
        <f t="shared" si="13"/>
        <v xml:space="preserve"> 7th</v>
      </c>
    </row>
    <row r="9" spans="17:60" ht="15.75">
      <c r="Q9" s="83">
        <v>7</v>
      </c>
      <c r="R9" s="84" t="s">
        <v>245</v>
      </c>
      <c r="S9" s="78">
        <v>7</v>
      </c>
      <c r="T9" s="78">
        <v>0.38750000000000001</v>
      </c>
      <c r="U9" s="78">
        <v>0.10653060891310064</v>
      </c>
      <c r="V9" s="78">
        <v>8.0715812689161212E-2</v>
      </c>
      <c r="W9" s="78">
        <v>1.580569477928834</v>
      </c>
      <c r="X9" s="97">
        <v>1.6871000868419346</v>
      </c>
      <c r="Y9" s="86">
        <v>4.309180062582727</v>
      </c>
      <c r="Z9" s="78">
        <v>0.47909803242347238</v>
      </c>
      <c r="AA9" s="78">
        <v>0.2098840604916575</v>
      </c>
      <c r="AB9" s="78">
        <v>1.3680132421875701</v>
      </c>
      <c r="AC9" s="85">
        <v>1.8471112746110425</v>
      </c>
      <c r="AD9" s="81">
        <v>-1.7071672122013996E-2</v>
      </c>
      <c r="AE9" s="78">
        <v>5.5759694755291287</v>
      </c>
      <c r="AF9" s="81">
        <v>0.65556978493810425</v>
      </c>
      <c r="AG9" s="78">
        <v>1.5260811844522044</v>
      </c>
      <c r="AH9" s="85">
        <v>7.1020506599813329</v>
      </c>
      <c r="AI9" s="81">
        <v>17.467691381484435</v>
      </c>
      <c r="AJ9" s="77">
        <v>1.9064544920799707E-3</v>
      </c>
      <c r="AK9" s="78">
        <v>0.66239916233389728</v>
      </c>
      <c r="AL9" s="78">
        <v>1.17547006336822</v>
      </c>
      <c r="AM9" s="85">
        <v>1.1773765178603</v>
      </c>
      <c r="AN9" s="81">
        <v>130.00854695746131</v>
      </c>
      <c r="AO9" s="78">
        <v>1.8189588143146642E-3</v>
      </c>
      <c r="AP9" s="78">
        <v>1.0802225879913887</v>
      </c>
      <c r="AQ9" s="78">
        <v>1.382711179695312</v>
      </c>
      <c r="AR9" s="85">
        <v>1.3845301385096267</v>
      </c>
      <c r="AS9" s="105">
        <v>13.198168677804237</v>
      </c>
      <c r="AT9" s="91">
        <f t="shared" si="0"/>
        <v>13.198168677804235</v>
      </c>
      <c r="AU9" s="96" t="str">
        <f t="shared" si="1"/>
        <v>Medium</v>
      </c>
      <c r="AV9" s="93" t="str">
        <f t="shared" si="2"/>
        <v>CAGEPA</v>
      </c>
      <c r="AW9" s="94">
        <f t="shared" si="3"/>
        <v>7</v>
      </c>
      <c r="AX9" s="94">
        <f t="shared" si="4"/>
        <v>6</v>
      </c>
      <c r="AY9" s="94">
        <f t="shared" si="5"/>
        <v>13</v>
      </c>
      <c r="AZ9" s="94">
        <f t="shared" si="6"/>
        <v>15</v>
      </c>
      <c r="BA9" s="94">
        <f t="shared" si="7"/>
        <v>5</v>
      </c>
      <c r="BB9" s="94">
        <f t="shared" si="8"/>
        <v>2</v>
      </c>
      <c r="BC9" s="94" t="str">
        <f t="shared" si="14"/>
        <v xml:space="preserve"> 7th</v>
      </c>
      <c r="BD9" s="92" t="str">
        <f t="shared" si="9"/>
        <v xml:space="preserve"> 6th</v>
      </c>
      <c r="BE9" s="92" t="str">
        <f t="shared" si="10"/>
        <v xml:space="preserve"> 13th</v>
      </c>
      <c r="BF9" s="92" t="str">
        <f t="shared" si="11"/>
        <v xml:space="preserve"> 15th</v>
      </c>
      <c r="BG9" s="92" t="str">
        <f t="shared" si="12"/>
        <v xml:space="preserve"> 5th</v>
      </c>
      <c r="BH9" s="92" t="str">
        <f t="shared" si="13"/>
        <v xml:space="preserve"> 2nd</v>
      </c>
    </row>
    <row r="10" spans="17:60" ht="15.75">
      <c r="Q10" s="83">
        <v>8</v>
      </c>
      <c r="R10" s="84" t="s">
        <v>249</v>
      </c>
      <c r="S10" s="78">
        <v>8</v>
      </c>
      <c r="T10" s="78">
        <v>0.27100000000000002</v>
      </c>
      <c r="U10" s="78">
        <v>2.8574462192750951E-3</v>
      </c>
      <c r="V10" s="78">
        <v>9.1156595934680451E-2</v>
      </c>
      <c r="W10" s="78">
        <v>2.4317818644747575</v>
      </c>
      <c r="X10" s="97">
        <v>2.4346393106940325</v>
      </c>
      <c r="Y10" s="86">
        <v>3.3277659935580091</v>
      </c>
      <c r="Z10" s="78">
        <v>1.5375287906900308E-3</v>
      </c>
      <c r="AA10" s="78">
        <v>0.17131312459251186</v>
      </c>
      <c r="AB10" s="78">
        <v>0.19774700094010594</v>
      </c>
      <c r="AC10" s="85">
        <v>0.19928452973079597</v>
      </c>
      <c r="AD10" s="81">
        <v>8.2535483995845906E-3</v>
      </c>
      <c r="AE10" s="78">
        <v>4.7215391726723128</v>
      </c>
      <c r="AF10" s="81">
        <v>0.93446363433525048</v>
      </c>
      <c r="AG10" s="78">
        <v>4.8199480290420933E-2</v>
      </c>
      <c r="AH10" s="85">
        <v>4.7697386529627339</v>
      </c>
      <c r="AI10" s="81">
        <v>7.5420530562482355</v>
      </c>
      <c r="AJ10" s="77">
        <v>2.4295655467597062</v>
      </c>
      <c r="AK10" s="78">
        <v>0.61037588631811202</v>
      </c>
      <c r="AL10" s="78">
        <v>1.4758396710576336</v>
      </c>
      <c r="AM10" s="85">
        <v>3.9054052178173397</v>
      </c>
      <c r="AN10" s="81">
        <v>184.4163302778388</v>
      </c>
      <c r="AO10" s="78">
        <v>6.7651209343489813E-3</v>
      </c>
      <c r="AP10" s="78">
        <v>0.81987339589015718</v>
      </c>
      <c r="AQ10" s="78">
        <v>2.2545298515435714</v>
      </c>
      <c r="AR10" s="85">
        <v>2.2612949724779203</v>
      </c>
      <c r="AS10" s="105">
        <v>13.570362683682822</v>
      </c>
      <c r="AT10" s="91">
        <f t="shared" si="0"/>
        <v>13.570362683682822</v>
      </c>
      <c r="AU10" s="96" t="str">
        <f t="shared" si="1"/>
        <v>Medium</v>
      </c>
      <c r="AV10" s="93" t="str">
        <f t="shared" si="2"/>
        <v>CAESB</v>
      </c>
      <c r="AW10" s="94">
        <f t="shared" si="3"/>
        <v>8</v>
      </c>
      <c r="AX10" s="94">
        <f t="shared" si="4"/>
        <v>10</v>
      </c>
      <c r="AY10" s="94">
        <f t="shared" si="5"/>
        <v>7</v>
      </c>
      <c r="AZ10" s="94">
        <f t="shared" si="6"/>
        <v>10</v>
      </c>
      <c r="BA10" s="94">
        <f t="shared" si="7"/>
        <v>11</v>
      </c>
      <c r="BB10" s="94">
        <f t="shared" si="8"/>
        <v>11</v>
      </c>
      <c r="BC10" s="94" t="str">
        <f t="shared" si="14"/>
        <v xml:space="preserve"> 8th</v>
      </c>
      <c r="BD10" s="92" t="str">
        <f t="shared" si="9"/>
        <v xml:space="preserve"> 10th</v>
      </c>
      <c r="BE10" s="92" t="str">
        <f t="shared" si="10"/>
        <v xml:space="preserve"> 7th</v>
      </c>
      <c r="BF10" s="92" t="str">
        <f t="shared" si="11"/>
        <v xml:space="preserve"> 10th</v>
      </c>
      <c r="BG10" s="92" t="str">
        <f t="shared" si="12"/>
        <v xml:space="preserve"> 11th</v>
      </c>
      <c r="BH10" s="92" t="str">
        <f t="shared" si="13"/>
        <v xml:space="preserve"> 11th</v>
      </c>
    </row>
    <row r="11" spans="17:60" ht="15.75">
      <c r="Q11" s="83">
        <v>9</v>
      </c>
      <c r="R11" s="84" t="s">
        <v>261</v>
      </c>
      <c r="S11" s="78">
        <v>9</v>
      </c>
      <c r="T11" s="78">
        <v>0.3301</v>
      </c>
      <c r="U11" s="78">
        <v>1.2997896567627637E-3</v>
      </c>
      <c r="V11" s="78">
        <v>0.10649756180736042</v>
      </c>
      <c r="W11" s="78">
        <v>3.6824945615329621</v>
      </c>
      <c r="X11" s="97">
        <v>3.6837943511897246</v>
      </c>
      <c r="Y11" s="86">
        <v>3.1261794484129659</v>
      </c>
      <c r="Z11" s="78">
        <v>2.0501610904901262E-3</v>
      </c>
      <c r="AA11" s="78">
        <v>9.7735662039413432E-2</v>
      </c>
      <c r="AB11" s="78">
        <v>4.0692781658310615E-3</v>
      </c>
      <c r="AC11" s="85">
        <v>6.1194392563211873E-3</v>
      </c>
      <c r="AD11" s="81">
        <v>0.11314993247245862</v>
      </c>
      <c r="AE11" s="78">
        <v>1.1825117776084599</v>
      </c>
      <c r="AF11" s="81">
        <v>0.53249070455961667</v>
      </c>
      <c r="AG11" s="78">
        <v>2.1782874681318529</v>
      </c>
      <c r="AH11" s="85">
        <v>3.3607992457403126</v>
      </c>
      <c r="AI11" s="81">
        <v>5.9252243660416823</v>
      </c>
      <c r="AJ11" s="77">
        <v>2.980602796073577</v>
      </c>
      <c r="AK11" s="78">
        <v>0.34378704434329077</v>
      </c>
      <c r="AL11" s="78">
        <v>3.0150581134728154</v>
      </c>
      <c r="AM11" s="85">
        <v>5.9956609095463929</v>
      </c>
      <c r="AN11" s="81">
        <v>246.67982649604323</v>
      </c>
      <c r="AO11" s="78">
        <v>1.2425438772367566E-2</v>
      </c>
      <c r="AP11" s="78">
        <v>0.78526751072427936</v>
      </c>
      <c r="AQ11" s="78">
        <v>2.3704128953892307</v>
      </c>
      <c r="AR11" s="85">
        <v>2.3828383341615984</v>
      </c>
      <c r="AS11" s="105">
        <v>15.429212279894349</v>
      </c>
      <c r="AT11" s="91">
        <f t="shared" si="0"/>
        <v>15.429212279894351</v>
      </c>
      <c r="AU11" s="96" t="str">
        <f t="shared" si="1"/>
        <v>Medium</v>
      </c>
      <c r="AV11" s="93" t="str">
        <f t="shared" si="2"/>
        <v>CESAN</v>
      </c>
      <c r="AW11" s="94">
        <f t="shared" si="3"/>
        <v>9</v>
      </c>
      <c r="AX11" s="94">
        <f t="shared" si="4"/>
        <v>13</v>
      </c>
      <c r="AY11" s="94">
        <f t="shared" si="5"/>
        <v>5</v>
      </c>
      <c r="AZ11" s="94">
        <f t="shared" si="6"/>
        <v>6</v>
      </c>
      <c r="BA11" s="94">
        <f t="shared" si="7"/>
        <v>18</v>
      </c>
      <c r="BB11" s="94">
        <f t="shared" si="8"/>
        <v>13</v>
      </c>
      <c r="BC11" s="94" t="str">
        <f t="shared" si="14"/>
        <v xml:space="preserve"> 9th</v>
      </c>
      <c r="BD11" s="92" t="str">
        <f t="shared" si="9"/>
        <v xml:space="preserve"> 13th</v>
      </c>
      <c r="BE11" s="92" t="str">
        <f t="shared" si="10"/>
        <v xml:space="preserve"> 5th</v>
      </c>
      <c r="BF11" s="92" t="str">
        <f t="shared" si="11"/>
        <v xml:space="preserve"> 6th</v>
      </c>
      <c r="BG11" s="92" t="str">
        <f t="shared" si="12"/>
        <v xml:space="preserve"> 18th</v>
      </c>
      <c r="BH11" s="92" t="str">
        <f t="shared" si="13"/>
        <v xml:space="preserve"> 13th</v>
      </c>
    </row>
    <row r="12" spans="17:60" ht="15.75">
      <c r="Q12" s="87">
        <v>10</v>
      </c>
      <c r="R12" s="84" t="s">
        <v>383</v>
      </c>
      <c r="S12" s="78">
        <v>10</v>
      </c>
      <c r="T12" s="78">
        <v>0.4042</v>
      </c>
      <c r="U12" s="78">
        <v>0.32660560547787154</v>
      </c>
      <c r="V12" s="78">
        <v>7.4289926520593477E-2</v>
      </c>
      <c r="W12" s="78">
        <v>1.0566821629070997</v>
      </c>
      <c r="X12" s="97">
        <v>1.3832877683849714</v>
      </c>
      <c r="Y12" s="86">
        <v>4.2193200289977923</v>
      </c>
      <c r="Z12" s="78">
        <v>0.36484150889504291</v>
      </c>
      <c r="AA12" s="78">
        <v>0.17795404713761695</v>
      </c>
      <c r="AB12" s="78">
        <v>0.39923673107257657</v>
      </c>
      <c r="AC12" s="85">
        <v>0.76407823996761948</v>
      </c>
      <c r="AD12" s="81">
        <v>2.5726947029200496E-2</v>
      </c>
      <c r="AE12" s="78">
        <v>4.1320161211234527</v>
      </c>
      <c r="AF12" s="81">
        <v>0.60879222677806188</v>
      </c>
      <c r="AG12" s="78">
        <v>1.77395935573323</v>
      </c>
      <c r="AH12" s="85">
        <v>5.9059754768566828</v>
      </c>
      <c r="AI12" s="81">
        <v>6.5596455237715592</v>
      </c>
      <c r="AJ12" s="77">
        <v>2.764383420589009</v>
      </c>
      <c r="AK12" s="78">
        <v>0.34638792179161049</v>
      </c>
      <c r="AL12" s="78">
        <v>3.0000412864171149</v>
      </c>
      <c r="AM12" s="85">
        <v>5.7644247070061239</v>
      </c>
      <c r="AN12" s="81">
        <v>135.29220657860242</v>
      </c>
      <c r="AO12" s="78">
        <v>2.2992915071456742E-3</v>
      </c>
      <c r="AP12" s="78">
        <v>0.95486181884238908</v>
      </c>
      <c r="AQ12" s="78">
        <v>1.8025006876990903</v>
      </c>
      <c r="AR12" s="85">
        <v>1.8047999792062359</v>
      </c>
      <c r="AS12" s="105">
        <v>15.622566171421635</v>
      </c>
      <c r="AT12" s="91">
        <f t="shared" si="0"/>
        <v>15.622566171421633</v>
      </c>
      <c r="AU12" s="96" t="str">
        <f t="shared" si="1"/>
        <v>Medium</v>
      </c>
      <c r="AV12" s="93" t="str">
        <f t="shared" si="2"/>
        <v>EMBASA</v>
      </c>
      <c r="AW12" s="94">
        <f t="shared" si="3"/>
        <v>10</v>
      </c>
      <c r="AX12" s="94">
        <f t="shared" si="4"/>
        <v>5</v>
      </c>
      <c r="AY12" s="94">
        <f t="shared" si="5"/>
        <v>10</v>
      </c>
      <c r="AZ12" s="94">
        <f t="shared" si="6"/>
        <v>12</v>
      </c>
      <c r="BA12" s="94">
        <f t="shared" si="7"/>
        <v>16</v>
      </c>
      <c r="BB12" s="94">
        <f t="shared" si="8"/>
        <v>5</v>
      </c>
      <c r="BC12" s="94" t="str">
        <f t="shared" si="14"/>
        <v xml:space="preserve"> 10th</v>
      </c>
      <c r="BD12" s="92" t="str">
        <f t="shared" si="9"/>
        <v xml:space="preserve"> 5th</v>
      </c>
      <c r="BE12" s="92" t="str">
        <f t="shared" si="10"/>
        <v xml:space="preserve"> 10th</v>
      </c>
      <c r="BF12" s="92" t="str">
        <f t="shared" si="11"/>
        <v xml:space="preserve"> 12th</v>
      </c>
      <c r="BG12" s="92" t="str">
        <f t="shared" si="12"/>
        <v xml:space="preserve"> 16th</v>
      </c>
      <c r="BH12" s="92" t="str">
        <f t="shared" si="13"/>
        <v xml:space="preserve"> 5th</v>
      </c>
    </row>
    <row r="13" spans="17:60" ht="15.75">
      <c r="Q13" s="83">
        <v>11</v>
      </c>
      <c r="R13" s="84" t="s">
        <v>233</v>
      </c>
      <c r="S13" s="78">
        <v>11</v>
      </c>
      <c r="T13" s="78">
        <v>0.30549999999999999</v>
      </c>
      <c r="U13" s="78">
        <v>1.9481543173008918E-3</v>
      </c>
      <c r="V13" s="78">
        <v>0.14156575279175437</v>
      </c>
      <c r="W13" s="78">
        <v>6.5415213067232552</v>
      </c>
      <c r="X13" s="97">
        <v>6.5434694610405559</v>
      </c>
      <c r="Y13" s="86">
        <v>4.2465872573841317</v>
      </c>
      <c r="Z13" s="78">
        <v>0.39951163528370204</v>
      </c>
      <c r="AA13" s="78">
        <v>0.16036986219878954</v>
      </c>
      <c r="AB13" s="78">
        <v>2.68556804767174E-4</v>
      </c>
      <c r="AC13" s="85">
        <v>0.39978019208846921</v>
      </c>
      <c r="AD13" s="81">
        <v>0.10990417533379396</v>
      </c>
      <c r="AE13" s="78">
        <v>1.2920181589102038</v>
      </c>
      <c r="AF13" s="81">
        <v>0.92438028550925655</v>
      </c>
      <c r="AG13" s="78">
        <v>0.1016319843733529</v>
      </c>
      <c r="AH13" s="85">
        <v>1.3936501432835566</v>
      </c>
      <c r="AI13" s="81">
        <v>5.4332248022791338</v>
      </c>
      <c r="AJ13" s="77">
        <v>3.1482829516284019</v>
      </c>
      <c r="AK13" s="78">
        <v>0.21753681466246183</v>
      </c>
      <c r="AL13" s="78">
        <v>3.7439959056338172</v>
      </c>
      <c r="AM13" s="85">
        <v>6.8922788572622196</v>
      </c>
      <c r="AN13" s="81">
        <v>203.55314953425986</v>
      </c>
      <c r="AO13" s="78">
        <v>8.5048317758418049E-3</v>
      </c>
      <c r="AP13" s="78">
        <v>1.0062581575482614</v>
      </c>
      <c r="AQ13" s="78">
        <v>1.6303922690526667</v>
      </c>
      <c r="AR13" s="85">
        <v>1.6388971008285085</v>
      </c>
      <c r="AS13" s="105">
        <v>16.868075754503309</v>
      </c>
      <c r="AT13" s="91">
        <f t="shared" si="0"/>
        <v>16.868075754503309</v>
      </c>
      <c r="AU13" s="96" t="str">
        <f t="shared" si="1"/>
        <v>Medium</v>
      </c>
      <c r="AV13" s="93" t="str">
        <f t="shared" si="2"/>
        <v>CEDAE</v>
      </c>
      <c r="AW13" s="94">
        <f t="shared" si="3"/>
        <v>11</v>
      </c>
      <c r="AX13" s="94">
        <f t="shared" si="4"/>
        <v>19</v>
      </c>
      <c r="AY13" s="94">
        <f t="shared" si="5"/>
        <v>8</v>
      </c>
      <c r="AZ13" s="94">
        <f t="shared" si="6"/>
        <v>3</v>
      </c>
      <c r="BA13" s="94">
        <f t="shared" si="7"/>
        <v>20</v>
      </c>
      <c r="BB13" s="94">
        <f t="shared" si="8"/>
        <v>3</v>
      </c>
      <c r="BC13" s="94" t="str">
        <f t="shared" si="14"/>
        <v xml:space="preserve"> 11th</v>
      </c>
      <c r="BD13" s="92" t="str">
        <f t="shared" si="9"/>
        <v xml:space="preserve"> 19th</v>
      </c>
      <c r="BE13" s="92" t="str">
        <f t="shared" si="10"/>
        <v xml:space="preserve"> 8th</v>
      </c>
      <c r="BF13" s="92" t="str">
        <f t="shared" si="11"/>
        <v xml:space="preserve"> 3rd</v>
      </c>
      <c r="BG13" s="92" t="str">
        <f t="shared" si="12"/>
        <v xml:space="preserve"> 20th</v>
      </c>
      <c r="BH13" s="92" t="str">
        <f t="shared" si="13"/>
        <v xml:space="preserve"> 3rd</v>
      </c>
    </row>
    <row r="14" spans="17:60" ht="15.75">
      <c r="Q14" s="83">
        <v>12</v>
      </c>
      <c r="R14" s="84" t="s">
        <v>378</v>
      </c>
      <c r="S14" s="78">
        <v>12</v>
      </c>
      <c r="T14" s="78">
        <v>0.51890000000000003</v>
      </c>
      <c r="U14" s="78">
        <v>1.8381386657161496</v>
      </c>
      <c r="V14" s="78">
        <v>8.1666870874133338E-2</v>
      </c>
      <c r="W14" s="78">
        <v>1.6581070044090991</v>
      </c>
      <c r="X14" s="97">
        <v>3.4962456701252487</v>
      </c>
      <c r="Y14" s="86">
        <v>4.0742560457716888</v>
      </c>
      <c r="Z14" s="78">
        <v>0.18039347620056392</v>
      </c>
      <c r="AA14" s="78">
        <v>0.22520663896086041</v>
      </c>
      <c r="AB14" s="78">
        <v>1.8329098254143874</v>
      </c>
      <c r="AC14" s="85">
        <v>2.0133033016149513</v>
      </c>
      <c r="AD14" s="81">
        <v>8.3056501469809751E-2</v>
      </c>
      <c r="AE14" s="78">
        <v>2.1978134743366247</v>
      </c>
      <c r="AF14" s="81">
        <v>0.52003680020632059</v>
      </c>
      <c r="AG14" s="78">
        <v>2.2442817431182034</v>
      </c>
      <c r="AH14" s="85">
        <v>4.4420952174548276</v>
      </c>
      <c r="AI14" s="81">
        <v>8.2900408297391213</v>
      </c>
      <c r="AJ14" s="77">
        <v>2.1746411211100294</v>
      </c>
      <c r="AK14" s="78">
        <v>0.39184842887183274</v>
      </c>
      <c r="AL14" s="78">
        <v>2.7375634933441662</v>
      </c>
      <c r="AM14" s="85">
        <v>4.9122046144541951</v>
      </c>
      <c r="AN14" s="81">
        <v>134.49275149166539</v>
      </c>
      <c r="AO14" s="78">
        <v>2.2266137719695808E-3</v>
      </c>
      <c r="AP14" s="78">
        <v>0.83646358798887954</v>
      </c>
      <c r="AQ14" s="78">
        <v>2.1989750824871277</v>
      </c>
      <c r="AR14" s="85">
        <v>2.2012016962590972</v>
      </c>
      <c r="AS14" s="105">
        <v>17.065050499908324</v>
      </c>
      <c r="AT14" s="91">
        <f t="shared" si="0"/>
        <v>17.06505049990832</v>
      </c>
      <c r="AU14" s="96" t="str">
        <f t="shared" si="1"/>
        <v>Medium</v>
      </c>
      <c r="AV14" s="93" t="str">
        <f t="shared" si="2"/>
        <v>COMPESA</v>
      </c>
      <c r="AW14" s="94">
        <f t="shared" si="3"/>
        <v>12</v>
      </c>
      <c r="AX14" s="94">
        <f t="shared" si="4"/>
        <v>12</v>
      </c>
      <c r="AY14" s="94">
        <f t="shared" si="5"/>
        <v>15</v>
      </c>
      <c r="AZ14" s="94">
        <f t="shared" si="6"/>
        <v>9</v>
      </c>
      <c r="BA14" s="94">
        <f t="shared" si="7"/>
        <v>13</v>
      </c>
      <c r="BB14" s="94">
        <f t="shared" si="8"/>
        <v>10</v>
      </c>
      <c r="BC14" s="94" t="str">
        <f t="shared" si="14"/>
        <v xml:space="preserve"> 12th</v>
      </c>
      <c r="BD14" s="92" t="str">
        <f t="shared" si="9"/>
        <v xml:space="preserve"> 12th</v>
      </c>
      <c r="BE14" s="92" t="str">
        <f t="shared" si="10"/>
        <v xml:space="preserve"> 15th</v>
      </c>
      <c r="BF14" s="92" t="str">
        <f t="shared" si="11"/>
        <v xml:space="preserve"> 9th</v>
      </c>
      <c r="BG14" s="92" t="str">
        <f t="shared" si="12"/>
        <v xml:space="preserve"> 13th</v>
      </c>
      <c r="BH14" s="92" t="str">
        <f t="shared" si="13"/>
        <v xml:space="preserve"> 10th</v>
      </c>
    </row>
    <row r="15" spans="17:60" ht="15.75">
      <c r="Q15" s="83">
        <v>13</v>
      </c>
      <c r="R15" s="84" t="s">
        <v>239</v>
      </c>
      <c r="S15" s="78">
        <v>13</v>
      </c>
      <c r="T15" s="78">
        <v>0.49280000000000002</v>
      </c>
      <c r="U15" s="78">
        <v>1.4941891201867767</v>
      </c>
      <c r="V15" s="78">
        <v>0.10821059250908678</v>
      </c>
      <c r="W15" s="78">
        <v>3.8221539067711379</v>
      </c>
      <c r="X15" s="97">
        <v>5.3163430269579148</v>
      </c>
      <c r="Y15" s="86">
        <v>5.2340655471970079</v>
      </c>
      <c r="Z15" s="78">
        <v>1.6550846854225776</v>
      </c>
      <c r="AA15" s="78">
        <v>0.31804584461637653</v>
      </c>
      <c r="AB15" s="78">
        <v>4.6497092032404179</v>
      </c>
      <c r="AC15" s="85">
        <v>6.3047938886629957</v>
      </c>
      <c r="AD15" s="81">
        <v>0.12064555293712168</v>
      </c>
      <c r="AE15" s="78">
        <v>0.92962216275753529</v>
      </c>
      <c r="AF15" s="81">
        <v>0.98639983327635683</v>
      </c>
      <c r="AG15" s="78">
        <v>4.5402951508960844E-4</v>
      </c>
      <c r="AH15" s="85">
        <v>0.93007619227262495</v>
      </c>
      <c r="AI15" s="81">
        <v>9.5326680863678774</v>
      </c>
      <c r="AJ15" s="77">
        <v>1.7511368194095969</v>
      </c>
      <c r="AK15" s="78">
        <v>0.1865426340732961</v>
      </c>
      <c r="AL15" s="78">
        <v>3.9229486855663565</v>
      </c>
      <c r="AM15" s="85">
        <v>5.6740855049759533</v>
      </c>
      <c r="AN15" s="81">
        <v>105.27369548802213</v>
      </c>
      <c r="AO15" s="78">
        <v>0.21483202327172146</v>
      </c>
      <c r="AP15" s="78">
        <v>3.2422152336025536</v>
      </c>
      <c r="AQ15" s="78">
        <v>1.1714096794327656E-2</v>
      </c>
      <c r="AR15" s="85">
        <v>0.22654612006604913</v>
      </c>
      <c r="AS15" s="105">
        <v>18.451844732935541</v>
      </c>
      <c r="AT15" s="91">
        <f t="shared" si="0"/>
        <v>18.451844732935538</v>
      </c>
      <c r="AU15" s="96" t="str">
        <f t="shared" si="1"/>
        <v>Medium</v>
      </c>
      <c r="AV15" s="93" t="str">
        <f t="shared" si="2"/>
        <v>MA</v>
      </c>
      <c r="AW15" s="94">
        <f t="shared" si="3"/>
        <v>13</v>
      </c>
      <c r="AX15" s="94">
        <f t="shared" si="4"/>
        <v>17</v>
      </c>
      <c r="AY15" s="94">
        <f t="shared" si="5"/>
        <v>19</v>
      </c>
      <c r="AZ15" s="94">
        <f t="shared" si="6"/>
        <v>2</v>
      </c>
      <c r="BA15" s="94">
        <f t="shared" si="7"/>
        <v>15</v>
      </c>
      <c r="BB15" s="94">
        <f t="shared" si="8"/>
        <v>1</v>
      </c>
      <c r="BC15" s="94" t="str">
        <f t="shared" si="14"/>
        <v xml:space="preserve"> 13th</v>
      </c>
      <c r="BD15" s="92" t="str">
        <f t="shared" si="9"/>
        <v xml:space="preserve"> 17th</v>
      </c>
      <c r="BE15" s="92" t="str">
        <f t="shared" si="10"/>
        <v xml:space="preserve"> 19th</v>
      </c>
      <c r="BF15" s="92" t="str">
        <f t="shared" si="11"/>
        <v xml:space="preserve"> 2nd</v>
      </c>
      <c r="BG15" s="92" t="str">
        <f t="shared" si="12"/>
        <v xml:space="preserve"> 15th</v>
      </c>
      <c r="BH15" s="92" t="str">
        <f t="shared" si="13"/>
        <v xml:space="preserve"> 1st</v>
      </c>
    </row>
    <row r="16" spans="17:60" ht="15.75">
      <c r="Q16" s="83">
        <v>14</v>
      </c>
      <c r="R16" s="84" t="s">
        <v>384</v>
      </c>
      <c r="S16" s="78">
        <v>14</v>
      </c>
      <c r="T16" s="78">
        <v>0.314</v>
      </c>
      <c r="U16" s="78">
        <v>1.7241258776840589E-3</v>
      </c>
      <c r="V16" s="78">
        <v>0.10751447058417307</v>
      </c>
      <c r="W16" s="78">
        <v>3.7654007311617277</v>
      </c>
      <c r="X16" s="97">
        <v>3.7671248570394118</v>
      </c>
      <c r="Y16" s="86">
        <v>3.3778405746577227</v>
      </c>
      <c r="Z16" s="78">
        <v>1.4101896984296672E-3</v>
      </c>
      <c r="AA16" s="78">
        <v>0.13021436233064212</v>
      </c>
      <c r="AB16" s="78">
        <v>2.0984301361227121E-3</v>
      </c>
      <c r="AC16" s="85">
        <v>3.5086198345523796E-3</v>
      </c>
      <c r="AD16" s="81">
        <v>7.2284435899779759E-2</v>
      </c>
      <c r="AE16" s="78">
        <v>2.5612448308195663</v>
      </c>
      <c r="AF16" s="81">
        <v>0.51863689287368087</v>
      </c>
      <c r="AG16" s="78">
        <v>2.2516999685071903</v>
      </c>
      <c r="AH16" s="85">
        <v>4.8129447993267567</v>
      </c>
      <c r="AI16" s="81">
        <v>4.0744093474202785</v>
      </c>
      <c r="AJ16" s="77">
        <v>3.611385774522363</v>
      </c>
      <c r="AK16" s="78">
        <v>0.32772691251788849</v>
      </c>
      <c r="AL16" s="78">
        <v>3.1077853668348032</v>
      </c>
      <c r="AM16" s="85">
        <v>6.7191711413571662</v>
      </c>
      <c r="AN16" s="81">
        <v>216.29430223368584</v>
      </c>
      <c r="AO16" s="78">
        <v>9.6631183848805303E-3</v>
      </c>
      <c r="AP16" s="78">
        <v>0.54730551387916349</v>
      </c>
      <c r="AQ16" s="78">
        <v>3.167264655771119</v>
      </c>
      <c r="AR16" s="85">
        <v>3.1769277741559994</v>
      </c>
      <c r="AS16" s="105">
        <v>18.479677191713886</v>
      </c>
      <c r="AT16" s="91">
        <f t="shared" si="0"/>
        <v>18.479677191713886</v>
      </c>
      <c r="AU16" s="96" t="str">
        <f t="shared" si="1"/>
        <v>Medium</v>
      </c>
      <c r="AV16" s="93" t="str">
        <f t="shared" si="2"/>
        <v>SABESP</v>
      </c>
      <c r="AW16" s="94">
        <f t="shared" si="3"/>
        <v>14</v>
      </c>
      <c r="AX16" s="94">
        <f t="shared" si="4"/>
        <v>14</v>
      </c>
      <c r="AY16" s="94">
        <f t="shared" si="5"/>
        <v>3</v>
      </c>
      <c r="AZ16" s="94">
        <f t="shared" si="6"/>
        <v>11</v>
      </c>
      <c r="BA16" s="94">
        <f t="shared" si="7"/>
        <v>19</v>
      </c>
      <c r="BB16" s="94">
        <f t="shared" si="8"/>
        <v>17</v>
      </c>
      <c r="BC16" s="94" t="str">
        <f t="shared" si="14"/>
        <v xml:space="preserve"> 14th</v>
      </c>
      <c r="BD16" s="92" t="str">
        <f t="shared" si="9"/>
        <v xml:space="preserve"> 14th</v>
      </c>
      <c r="BE16" s="92" t="str">
        <f t="shared" si="10"/>
        <v xml:space="preserve"> 3rd</v>
      </c>
      <c r="BF16" s="92" t="str">
        <f t="shared" si="11"/>
        <v xml:space="preserve"> 11th</v>
      </c>
      <c r="BG16" s="92" t="str">
        <f t="shared" si="12"/>
        <v xml:space="preserve"> 19th</v>
      </c>
      <c r="BH16" s="92" t="str">
        <f t="shared" si="13"/>
        <v xml:space="preserve"> 17th</v>
      </c>
    </row>
    <row r="17" spans="2:60" ht="15.75">
      <c r="Q17" s="83">
        <v>15</v>
      </c>
      <c r="R17" s="84" t="s">
        <v>257</v>
      </c>
      <c r="S17" s="78">
        <v>15</v>
      </c>
      <c r="T17" s="78">
        <v>0.55820000000000003</v>
      </c>
      <c r="U17" s="78">
        <v>2.3560397055362396</v>
      </c>
      <c r="V17" s="78">
        <v>9.6303755763440899E-2</v>
      </c>
      <c r="W17" s="78">
        <v>2.8514176426289275</v>
      </c>
      <c r="X17" s="97">
        <v>5.2074573481651676</v>
      </c>
      <c r="Y17" s="86">
        <v>4.3918291324999492</v>
      </c>
      <c r="Z17" s="78">
        <v>0.58418585650796173</v>
      </c>
      <c r="AA17" s="78">
        <v>0.23824903984046789</v>
      </c>
      <c r="AB17" s="78">
        <v>2.2286243990542496</v>
      </c>
      <c r="AC17" s="85">
        <v>2.8128102555622112</v>
      </c>
      <c r="AD17" s="81">
        <v>8.9592636103192555E-3</v>
      </c>
      <c r="AE17" s="78">
        <v>4.6977295296042723</v>
      </c>
      <c r="AF17" s="81">
        <v>0.60238127340678305</v>
      </c>
      <c r="AG17" s="78">
        <v>1.8079315308605322</v>
      </c>
      <c r="AH17" s="85">
        <v>6.5056610604648046</v>
      </c>
      <c r="AI17" s="81">
        <v>13.83693166516148</v>
      </c>
      <c r="AJ17" s="77">
        <v>0.28418513977475485</v>
      </c>
      <c r="AK17" s="78">
        <v>0.47158557301446841</v>
      </c>
      <c r="AL17" s="78">
        <v>2.2771808235343984</v>
      </c>
      <c r="AM17" s="85">
        <v>2.5613659633091532</v>
      </c>
      <c r="AN17" s="81">
        <v>136.98600820982736</v>
      </c>
      <c r="AO17" s="78">
        <v>2.4532734736206693E-3</v>
      </c>
      <c r="AP17" s="78">
        <v>0.62158954940154598</v>
      </c>
      <c r="AQ17" s="78">
        <v>2.9185133204358014</v>
      </c>
      <c r="AR17" s="85">
        <v>2.920966593909422</v>
      </c>
      <c r="AS17" s="105">
        <v>20.008261221410756</v>
      </c>
      <c r="AT17" s="91">
        <f t="shared" si="0"/>
        <v>20.008261221410759</v>
      </c>
      <c r="AU17" s="96" t="str">
        <f t="shared" si="1"/>
        <v>Medium</v>
      </c>
      <c r="AV17" s="93" t="str">
        <f t="shared" si="2"/>
        <v>CAERN</v>
      </c>
      <c r="AW17" s="94">
        <f t="shared" si="3"/>
        <v>15</v>
      </c>
      <c r="AX17" s="94">
        <f t="shared" si="4"/>
        <v>15</v>
      </c>
      <c r="AY17" s="94">
        <f t="shared" si="5"/>
        <v>16</v>
      </c>
      <c r="AZ17" s="94">
        <f t="shared" si="6"/>
        <v>13</v>
      </c>
      <c r="BA17" s="94">
        <f t="shared" si="7"/>
        <v>8</v>
      </c>
      <c r="BB17" s="94">
        <f t="shared" si="8"/>
        <v>16</v>
      </c>
      <c r="BC17" s="94" t="str">
        <f t="shared" si="14"/>
        <v xml:space="preserve"> 15th</v>
      </c>
      <c r="BD17" s="92" t="str">
        <f t="shared" si="9"/>
        <v xml:space="preserve"> 15th</v>
      </c>
      <c r="BE17" s="92" t="str">
        <f t="shared" si="10"/>
        <v xml:space="preserve"> 16th</v>
      </c>
      <c r="BF17" s="92" t="str">
        <f t="shared" si="11"/>
        <v xml:space="preserve"> 13th</v>
      </c>
      <c r="BG17" s="92" t="str">
        <f t="shared" si="12"/>
        <v xml:space="preserve"> 8th</v>
      </c>
      <c r="BH17" s="92" t="str">
        <f t="shared" si="13"/>
        <v xml:space="preserve"> 16th</v>
      </c>
    </row>
    <row r="18" spans="2:60" ht="15.75">
      <c r="B18" s="71" t="b">
        <v>1</v>
      </c>
      <c r="C18" s="71" t="b">
        <v>1</v>
      </c>
      <c r="Q18" s="83">
        <v>16</v>
      </c>
      <c r="R18" s="84" t="s">
        <v>265</v>
      </c>
      <c r="S18" s="78">
        <v>16</v>
      </c>
      <c r="T18" s="78">
        <v>0.44799999999999995</v>
      </c>
      <c r="U18" s="78">
        <v>0.90380829107888716</v>
      </c>
      <c r="V18" s="78">
        <v>7.7595181612534092E-2</v>
      </c>
      <c r="W18" s="78">
        <v>1.326151800269916</v>
      </c>
      <c r="X18" s="97">
        <v>2.2299600913488034</v>
      </c>
      <c r="Y18" s="86">
        <v>6.7314045703702519</v>
      </c>
      <c r="Z18" s="78">
        <v>3.5589427690001432</v>
      </c>
      <c r="AA18" s="78">
        <v>0.297010969159892</v>
      </c>
      <c r="AB18" s="78">
        <v>4.0114979682334413</v>
      </c>
      <c r="AC18" s="85">
        <v>7.570440737233584</v>
      </c>
      <c r="AD18" s="81">
        <v>0</v>
      </c>
      <c r="AE18" s="78">
        <v>4.9999999999999991</v>
      </c>
      <c r="AF18" s="81">
        <v>0.44354340598724723</v>
      </c>
      <c r="AG18" s="78">
        <v>2.6496266012065659</v>
      </c>
      <c r="AH18" s="85">
        <v>7.649626601206565</v>
      </c>
      <c r="AI18" s="81">
        <v>14.712815824527535</v>
      </c>
      <c r="AJ18" s="77">
        <v>2.8656233918660607E-5</v>
      </c>
      <c r="AK18" s="78">
        <v>0.92444072096321528</v>
      </c>
      <c r="AL18" s="78">
        <v>6.7498696558770119E-4</v>
      </c>
      <c r="AM18" s="85">
        <v>7.0364319950636184E-4</v>
      </c>
      <c r="AN18" s="81">
        <v>96.687786404036558</v>
      </c>
      <c r="AO18" s="78">
        <v>0.60510061799833825</v>
      </c>
      <c r="AP18" s="78">
        <v>0.88598937390329613</v>
      </c>
      <c r="AQ18" s="78">
        <v>2.0331304929584642</v>
      </c>
      <c r="AR18" s="85">
        <v>2.6382311109568022</v>
      </c>
      <c r="AS18" s="105">
        <v>20.088962183945263</v>
      </c>
      <c r="AT18" s="91">
        <f t="shared" si="0"/>
        <v>20.088962183945263</v>
      </c>
      <c r="AU18" s="96" t="str">
        <f t="shared" si="1"/>
        <v>Medium</v>
      </c>
      <c r="AV18" s="93" t="str">
        <f t="shared" si="2"/>
        <v>CASAL</v>
      </c>
      <c r="AW18" s="94">
        <f t="shared" si="3"/>
        <v>16</v>
      </c>
      <c r="AX18" s="94">
        <f t="shared" si="4"/>
        <v>9</v>
      </c>
      <c r="AY18" s="94">
        <f t="shared" si="5"/>
        <v>20</v>
      </c>
      <c r="AZ18" s="94">
        <f t="shared" si="6"/>
        <v>16</v>
      </c>
      <c r="BA18" s="94">
        <f t="shared" si="7"/>
        <v>1</v>
      </c>
      <c r="BB18" s="94">
        <f t="shared" si="8"/>
        <v>15</v>
      </c>
      <c r="BC18" s="94" t="str">
        <f t="shared" si="14"/>
        <v xml:space="preserve"> 16th</v>
      </c>
      <c r="BD18" s="92" t="str">
        <f t="shared" si="9"/>
        <v xml:space="preserve"> 9th</v>
      </c>
      <c r="BE18" s="92" t="str">
        <f t="shared" si="10"/>
        <v xml:space="preserve"> 20th</v>
      </c>
      <c r="BF18" s="92" t="str">
        <f t="shared" si="11"/>
        <v xml:space="preserve"> 16th</v>
      </c>
      <c r="BG18" s="92" t="str">
        <f t="shared" si="12"/>
        <v xml:space="preserve"> 1st</v>
      </c>
      <c r="BH18" s="92" t="str">
        <f t="shared" si="13"/>
        <v xml:space="preserve"> 15th</v>
      </c>
    </row>
    <row r="19" spans="2:60" ht="15">
      <c r="B19" s="71" t="b">
        <v>1</v>
      </c>
      <c r="C19" s="71" t="b">
        <v>1</v>
      </c>
      <c r="Q19" s="83">
        <v>17</v>
      </c>
      <c r="R19" s="78" t="s">
        <v>241</v>
      </c>
      <c r="S19" s="78">
        <v>17</v>
      </c>
      <c r="T19" s="78">
        <v>0.622</v>
      </c>
      <c r="U19" s="78">
        <v>3.1968052612747058</v>
      </c>
      <c r="V19" s="78">
        <v>9.4358111607080061E-2</v>
      </c>
      <c r="W19" s="78">
        <v>2.6927938720975555</v>
      </c>
      <c r="X19" s="97">
        <v>5.8895991333722613</v>
      </c>
      <c r="Y19" s="78">
        <v>3.7401055493532196</v>
      </c>
      <c r="Z19" s="78">
        <v>4.889539731903808E-4</v>
      </c>
      <c r="AA19" s="78">
        <v>0.22769285916624704</v>
      </c>
      <c r="AB19" s="78">
        <v>1.9083432964164682</v>
      </c>
      <c r="AC19" s="85">
        <v>1.9088322503896586</v>
      </c>
      <c r="AD19" s="78">
        <v>-4.6213829846638708E-2</v>
      </c>
      <c r="AE19" s="78">
        <v>6.559176813420474</v>
      </c>
      <c r="AF19" s="78">
        <v>0.45868057717559624</v>
      </c>
      <c r="AG19" s="78">
        <v>2.5694134720881476</v>
      </c>
      <c r="AH19" s="85">
        <v>9.1285902855086221</v>
      </c>
      <c r="AI19" s="78">
        <v>15.425684590566817</v>
      </c>
      <c r="AJ19" s="77">
        <v>5.1456701264176237E-4</v>
      </c>
      <c r="AK19" s="78">
        <v>0.97424725267616397</v>
      </c>
      <c r="AL19" s="78">
        <v>1.2501283075689077E-3</v>
      </c>
      <c r="AM19" s="85">
        <v>1.7646953202106702E-3</v>
      </c>
      <c r="AN19" s="78">
        <v>125.34315789210859</v>
      </c>
      <c r="AO19" s="78">
        <v>1.3948325356462356E-3</v>
      </c>
      <c r="AP19" s="78">
        <v>0.38185220124964397</v>
      </c>
      <c r="AQ19" s="78">
        <v>3.7213101133559294</v>
      </c>
      <c r="AR19" s="85">
        <v>3.7227049458915755</v>
      </c>
      <c r="AS19" s="105">
        <v>20.651491310482324</v>
      </c>
      <c r="AT19" s="91">
        <f t="shared" si="0"/>
        <v>20.651491310482328</v>
      </c>
      <c r="AU19" s="96" t="str">
        <f t="shared" si="1"/>
        <v>Medium</v>
      </c>
      <c r="AV19" s="93" t="str">
        <f t="shared" si="2"/>
        <v>CAEMA</v>
      </c>
      <c r="AW19" s="94">
        <f t="shared" si="3"/>
        <v>17</v>
      </c>
      <c r="AX19" s="94">
        <f t="shared" si="4"/>
        <v>18</v>
      </c>
      <c r="AY19" s="94">
        <f t="shared" si="5"/>
        <v>14</v>
      </c>
      <c r="AZ19" s="94">
        <f t="shared" si="6"/>
        <v>18</v>
      </c>
      <c r="BA19" s="94">
        <f t="shared" si="7"/>
        <v>2</v>
      </c>
      <c r="BB19" s="94">
        <f t="shared" si="8"/>
        <v>19</v>
      </c>
      <c r="BC19" s="94" t="str">
        <f t="shared" si="14"/>
        <v xml:space="preserve"> 17th</v>
      </c>
      <c r="BD19" s="92" t="str">
        <f t="shared" si="9"/>
        <v xml:space="preserve"> 18th</v>
      </c>
      <c r="BE19" s="92" t="str">
        <f t="shared" si="10"/>
        <v xml:space="preserve"> 14th</v>
      </c>
      <c r="BF19" s="92" t="str">
        <f t="shared" si="11"/>
        <v xml:space="preserve"> 18th</v>
      </c>
      <c r="BG19" s="92" t="str">
        <f t="shared" si="12"/>
        <v xml:space="preserve"> 2nd</v>
      </c>
      <c r="BH19" s="92" t="str">
        <f t="shared" si="13"/>
        <v xml:space="preserve"> 19th</v>
      </c>
    </row>
    <row r="20" spans="2:60" ht="15">
      <c r="B20" s="71" t="b">
        <v>1</v>
      </c>
      <c r="C20" s="71" t="b">
        <v>1</v>
      </c>
      <c r="Q20" s="83">
        <v>18</v>
      </c>
      <c r="R20" s="78" t="s">
        <v>269</v>
      </c>
      <c r="S20" s="78">
        <v>18</v>
      </c>
      <c r="T20" s="78">
        <v>0.51719999999999999</v>
      </c>
      <c r="U20" s="78">
        <v>1.8157358217544657</v>
      </c>
      <c r="V20" s="78">
        <v>0.10312438023979086</v>
      </c>
      <c r="W20" s="78">
        <v>3.4074870391216665</v>
      </c>
      <c r="X20" s="97">
        <v>5.223222860876132</v>
      </c>
      <c r="Y20" s="78">
        <v>3.9186335309245157</v>
      </c>
      <c r="Z20" s="78">
        <v>3.4959339244381185E-5</v>
      </c>
      <c r="AA20" s="78">
        <v>0.15859696848380372</v>
      </c>
      <c r="AB20" s="78">
        <v>3.7613820592335712E-4</v>
      </c>
      <c r="AC20" s="85">
        <v>4.1109754516773829E-4</v>
      </c>
      <c r="AD20" s="78">
        <v>-0.17735063109075408</v>
      </c>
      <c r="AE20" s="78">
        <v>10.983511705474987</v>
      </c>
      <c r="AF20" s="78">
        <v>0.42490005743454901</v>
      </c>
      <c r="AG20" s="78">
        <v>2.7484192557950458</v>
      </c>
      <c r="AH20" s="85">
        <v>13.731930961270033</v>
      </c>
      <c r="AI20" s="78">
        <v>11.4919510829742</v>
      </c>
      <c r="AJ20" s="77">
        <v>1.0833864760263032</v>
      </c>
      <c r="AK20" s="78">
        <v>1.1055083205187697</v>
      </c>
      <c r="AL20" s="78">
        <v>2.7658665875193588E-3</v>
      </c>
      <c r="AM20" s="85">
        <v>1.0861523426138227</v>
      </c>
      <c r="AN20" s="78">
        <v>159.73087598257754</v>
      </c>
      <c r="AO20" s="78">
        <v>4.5209887256888676E-3</v>
      </c>
      <c r="AP20" s="78">
        <v>0.71480216816973852</v>
      </c>
      <c r="AQ20" s="78">
        <v>2.6063767593882612</v>
      </c>
      <c r="AR20" s="85">
        <v>2.6108977481139499</v>
      </c>
      <c r="AS20" s="105">
        <v>22.652615010419105</v>
      </c>
      <c r="AT20" s="91">
        <f t="shared" si="0"/>
        <v>22.652615010419105</v>
      </c>
      <c r="AU20" s="96" t="str">
        <f t="shared" si="1"/>
        <v>Low</v>
      </c>
      <c r="AV20" s="93" t="str">
        <f t="shared" si="2"/>
        <v>AGESPISA</v>
      </c>
      <c r="AW20" s="94">
        <f t="shared" si="3"/>
        <v>18</v>
      </c>
      <c r="AX20" s="94">
        <f t="shared" si="4"/>
        <v>16</v>
      </c>
      <c r="AY20" s="94">
        <f t="shared" si="5"/>
        <v>1</v>
      </c>
      <c r="AZ20" s="94">
        <f t="shared" si="6"/>
        <v>19</v>
      </c>
      <c r="BA20" s="94">
        <f t="shared" si="7"/>
        <v>4</v>
      </c>
      <c r="BB20" s="94">
        <f t="shared" si="8"/>
        <v>14</v>
      </c>
      <c r="BC20" s="94" t="str">
        <f t="shared" si="14"/>
        <v xml:space="preserve"> 18th</v>
      </c>
      <c r="BD20" s="92" t="str">
        <f t="shared" si="9"/>
        <v xml:space="preserve"> 16th</v>
      </c>
      <c r="BE20" s="92" t="str">
        <f t="shared" si="10"/>
        <v xml:space="preserve"> 1st</v>
      </c>
      <c r="BF20" s="92" t="str">
        <f t="shared" si="11"/>
        <v xml:space="preserve"> 19th</v>
      </c>
      <c r="BG20" s="92" t="str">
        <f t="shared" si="12"/>
        <v xml:space="preserve"> 4th</v>
      </c>
      <c r="BH20" s="92" t="str">
        <f>OrdenStr(BB20)</f>
        <v xml:space="preserve"> 14th</v>
      </c>
    </row>
    <row r="21" spans="2:60" ht="15">
      <c r="B21" s="71" t="b">
        <v>1</v>
      </c>
      <c r="C21" s="71" t="b">
        <v>1</v>
      </c>
      <c r="Q21" s="83">
        <v>19</v>
      </c>
      <c r="R21" s="78" t="s">
        <v>237</v>
      </c>
      <c r="S21" s="78">
        <v>19</v>
      </c>
      <c r="T21" s="78">
        <v>0.42409999999999998</v>
      </c>
      <c r="U21" s="78">
        <v>0.58885066126463426</v>
      </c>
      <c r="V21" s="78">
        <v>6.6033618218553386E-2</v>
      </c>
      <c r="W21" s="78">
        <v>0.38356485661166007</v>
      </c>
      <c r="X21" s="97">
        <v>0.97241551787629432</v>
      </c>
      <c r="Y21" s="78">
        <v>4.0490112070278199</v>
      </c>
      <c r="Z21" s="78">
        <v>0.14829480678281917</v>
      </c>
      <c r="AA21" s="78">
        <v>9.7575615286363979E-2</v>
      </c>
      <c r="AB21" s="78">
        <v>4.0789900023602442E-3</v>
      </c>
      <c r="AC21" s="85">
        <v>0.15237379678517943</v>
      </c>
      <c r="AD21" s="78">
        <v>-0.19692164417648578</v>
      </c>
      <c r="AE21" s="78">
        <v>11.643804737229441</v>
      </c>
      <c r="AF21" s="78">
        <v>0.43676860446893512</v>
      </c>
      <c r="AG21" s="78">
        <v>2.6855268379270361</v>
      </c>
      <c r="AH21" s="85">
        <v>14.329331575156477</v>
      </c>
      <c r="AI21" s="78">
        <v>4.6132751378617485</v>
      </c>
      <c r="AJ21" s="77">
        <v>3.4277329702934387</v>
      </c>
      <c r="AK21" s="78">
        <v>0.43348569105597295</v>
      </c>
      <c r="AL21" s="78">
        <v>2.4971601764958269</v>
      </c>
      <c r="AM21" s="85">
        <v>5.924893146789266</v>
      </c>
      <c r="AN21" s="78">
        <v>169.58933530139075</v>
      </c>
      <c r="AO21" s="78">
        <v>5.4172123001264318E-3</v>
      </c>
      <c r="AP21" s="78">
        <v>0.86240607401704938</v>
      </c>
      <c r="AQ21" s="78">
        <v>2.1121027418012122</v>
      </c>
      <c r="AR21" s="85">
        <v>2.1175199541013385</v>
      </c>
      <c r="AS21" s="105">
        <v>23.496533990708556</v>
      </c>
      <c r="AT21" s="91">
        <f t="shared" si="0"/>
        <v>23.496533990708556</v>
      </c>
      <c r="AU21" s="96" t="str">
        <f t="shared" si="1"/>
        <v>Low</v>
      </c>
      <c r="AV21" s="93" t="str">
        <f t="shared" si="2"/>
        <v>CAGECE</v>
      </c>
      <c r="AW21" s="94">
        <f t="shared" si="3"/>
        <v>19</v>
      </c>
      <c r="AX21" s="94">
        <f t="shared" si="4"/>
        <v>2</v>
      </c>
      <c r="AY21" s="94">
        <f t="shared" si="5"/>
        <v>6</v>
      </c>
      <c r="AZ21" s="94">
        <f t="shared" si="6"/>
        <v>20</v>
      </c>
      <c r="BA21" s="94">
        <f t="shared" si="7"/>
        <v>17</v>
      </c>
      <c r="BB21" s="94">
        <f t="shared" si="8"/>
        <v>8</v>
      </c>
      <c r="BC21" s="94" t="str">
        <f t="shared" si="14"/>
        <v xml:space="preserve"> 19th</v>
      </c>
      <c r="BD21" s="92" t="str">
        <f t="shared" si="9"/>
        <v xml:space="preserve"> 2nd</v>
      </c>
      <c r="BE21" s="92" t="str">
        <f t="shared" si="10"/>
        <v xml:space="preserve"> 6th</v>
      </c>
      <c r="BF21" s="92" t="str">
        <f t="shared" si="11"/>
        <v xml:space="preserve"> 20th</v>
      </c>
      <c r="BG21" s="92" t="str">
        <f t="shared" si="12"/>
        <v xml:space="preserve"> 17th</v>
      </c>
      <c r="BH21" s="92" t="str">
        <f>OrdenStr(BB21)</f>
        <v xml:space="preserve"> 8th</v>
      </c>
    </row>
    <row r="22" spans="2:60" ht="15">
      <c r="B22" s="71" t="b">
        <v>1</v>
      </c>
      <c r="C22" s="71" t="b">
        <v>1</v>
      </c>
      <c r="Q22" s="83">
        <v>20</v>
      </c>
      <c r="R22" s="78" t="s">
        <v>382</v>
      </c>
      <c r="S22" s="78">
        <v>20</v>
      </c>
      <c r="T22" s="78">
        <v>0.60829999999999995</v>
      </c>
      <c r="U22" s="78">
        <v>3.0162646952305514</v>
      </c>
      <c r="V22" s="78">
        <v>0.12214061422562136</v>
      </c>
      <c r="W22" s="78">
        <v>4.9578356608250456</v>
      </c>
      <c r="X22" s="97">
        <v>7.9741003560555974</v>
      </c>
      <c r="Y22" s="78">
        <v>3.9097802920707982</v>
      </c>
      <c r="Z22" s="78">
        <v>5.7473025318991434E-5</v>
      </c>
      <c r="AA22" s="78">
        <v>0.31332568514287573</v>
      </c>
      <c r="AB22" s="78">
        <v>4.5064966221512268</v>
      </c>
      <c r="AC22" s="85">
        <v>4.5065540951765461</v>
      </c>
      <c r="AD22" s="78">
        <v>-4.5642883518368114E-2</v>
      </c>
      <c r="AE22" s="78">
        <v>6.5399140455498772</v>
      </c>
      <c r="AF22" s="78">
        <v>0.62492080293644592</v>
      </c>
      <c r="AG22" s="78">
        <v>1.688492689221295</v>
      </c>
      <c r="AH22" s="85">
        <v>8.2284067347711716</v>
      </c>
      <c r="AI22" s="78">
        <v>12.757454657239471</v>
      </c>
      <c r="AJ22" s="77">
        <v>0.65208561355155326</v>
      </c>
      <c r="AK22" s="78">
        <v>0.67738079696915343</v>
      </c>
      <c r="AL22" s="78">
        <v>1.0889697876729219</v>
      </c>
      <c r="AM22" s="85">
        <v>1.7410554012244752</v>
      </c>
      <c r="AN22" s="78">
        <v>143.55568417547406</v>
      </c>
      <c r="AO22" s="78">
        <v>3.050516743224914E-3</v>
      </c>
      <c r="AP22" s="78">
        <v>1</v>
      </c>
      <c r="AQ22" s="78">
        <v>1.6513486567330287</v>
      </c>
      <c r="AR22" s="85">
        <v>1.6543991734762535</v>
      </c>
      <c r="AS22" s="105">
        <v>24.104515760704047</v>
      </c>
      <c r="AT22" s="91">
        <f t="shared" si="0"/>
        <v>24.104515760704047</v>
      </c>
      <c r="AU22" s="96" t="str">
        <f t="shared" si="1"/>
        <v>Low</v>
      </c>
      <c r="AV22" s="93" t="str">
        <f t="shared" si="2"/>
        <v>DESO</v>
      </c>
      <c r="AW22" s="94">
        <f t="shared" si="3"/>
        <v>20</v>
      </c>
      <c r="AX22" s="94">
        <f t="shared" si="4"/>
        <v>20</v>
      </c>
      <c r="AY22" s="94">
        <f t="shared" si="5"/>
        <v>18</v>
      </c>
      <c r="AZ22" s="94">
        <f t="shared" si="6"/>
        <v>17</v>
      </c>
      <c r="BA22" s="94">
        <f t="shared" si="7"/>
        <v>6</v>
      </c>
      <c r="BB22" s="94">
        <f t="shared" si="8"/>
        <v>4</v>
      </c>
      <c r="BC22" s="94" t="str">
        <f t="shared" si="14"/>
        <v xml:space="preserve"> 20th</v>
      </c>
      <c r="BD22" s="92" t="str">
        <f t="shared" si="9"/>
        <v xml:space="preserve"> 20th</v>
      </c>
      <c r="BE22" s="92" t="str">
        <f t="shared" si="10"/>
        <v xml:space="preserve"> 18th</v>
      </c>
      <c r="BF22" s="92" t="str">
        <f t="shared" si="11"/>
        <v xml:space="preserve"> 17th</v>
      </c>
      <c r="BG22" s="92" t="str">
        <f t="shared" si="12"/>
        <v xml:space="preserve"> 6th</v>
      </c>
      <c r="BH22" s="92" t="str">
        <f>OrdenStr(BB22)</f>
        <v xml:space="preserve"> 4th</v>
      </c>
    </row>
    <row r="23" spans="2:60">
      <c r="B23" s="71" t="b">
        <v>1</v>
      </c>
      <c r="C23" s="71" t="b">
        <v>1</v>
      </c>
      <c r="V23" s="88"/>
      <c r="X23" s="93">
        <f>AVERAGE(X3:X22)</f>
        <v>3.2705414916448445</v>
      </c>
      <c r="AA23" s="88"/>
      <c r="AC23" s="93">
        <f>AVERAGE(AC3:AC22)</f>
        <v>1.7126049193430855</v>
      </c>
      <c r="AD23" s="88"/>
      <c r="AH23" s="93">
        <f>AVERAGE(AH3:AH22)</f>
        <v>5.5531490097517926</v>
      </c>
      <c r="AL23" s="71">
        <v>1.0889697876729219</v>
      </c>
      <c r="AM23" s="93">
        <f>AVERAGE(AM3:AM22)</f>
        <v>3.5369887762448728</v>
      </c>
      <c r="AN23" s="92"/>
      <c r="AO23" s="92">
        <v>1.2657761957931459</v>
      </c>
      <c r="AP23" s="92"/>
      <c r="AQ23" s="92">
        <v>1.6513486567330287</v>
      </c>
      <c r="AR23" s="93">
        <f>AVERAGE(AR3:AR22)</f>
        <v>2.3565707262347075</v>
      </c>
      <c r="AS23" s="92"/>
      <c r="AT23" s="93">
        <f>AVERAGE(AT3:AT22)</f>
        <v>16.429854923219299</v>
      </c>
    </row>
    <row r="24" spans="2:60">
      <c r="B24" s="71" t="b">
        <v>1</v>
      </c>
      <c r="C24" s="71" t="b">
        <v>1</v>
      </c>
      <c r="X24" s="93">
        <f>AVERAGE(X3:X22)+STDEV(X3:X22)</f>
        <v>5.3851074723398487</v>
      </c>
      <c r="AC24" s="93">
        <f>AVERAGE(AC3:AC22)+STDEV(AC3:AC22)</f>
        <v>3.9025511812087776</v>
      </c>
      <c r="AH24" s="93">
        <f>AVERAGE(AH3:AH22)+STDEV(AH3:AH22)</f>
        <v>9.3836465542768241</v>
      </c>
      <c r="AL24" s="71">
        <v>1.2501283075689077E-3</v>
      </c>
      <c r="AM24" s="93">
        <f>AVERAGE(AM3:AM22)+STDEV(AM3:AM22)</f>
        <v>5.8153066859835274</v>
      </c>
      <c r="AN24" s="92"/>
      <c r="AO24" s="92">
        <v>1.7395271975225883</v>
      </c>
      <c r="AP24" s="92"/>
      <c r="AQ24" s="92">
        <v>3.7213101133559294</v>
      </c>
      <c r="AR24" s="93">
        <f>AVERAGE(AR3:AR22)+STDEV(AR3:AR22)</f>
        <v>3.2946039820011945</v>
      </c>
      <c r="AS24" s="92"/>
      <c r="AT24" s="93">
        <f>STDEV(AT3:AT22)</f>
        <v>4.5325356189081081</v>
      </c>
    </row>
    <row r="25" spans="2:60">
      <c r="B25" s="71" t="b">
        <v>1</v>
      </c>
      <c r="C25" s="71" t="b">
        <v>1</v>
      </c>
      <c r="AL25" s="71">
        <v>2.4971601764958269</v>
      </c>
      <c r="AM25" s="92"/>
      <c r="AN25" s="92"/>
      <c r="AO25" s="92"/>
      <c r="AP25" s="92"/>
      <c r="AQ25" s="92"/>
      <c r="AR25" s="92"/>
      <c r="AS25" s="92"/>
      <c r="AT25" s="93">
        <f>MIN(AT3:AT22)</f>
        <v>7.4983609744166912</v>
      </c>
    </row>
    <row r="26" spans="2:60">
      <c r="B26" s="71" t="b">
        <v>1</v>
      </c>
      <c r="C26" s="71" t="b">
        <v>1</v>
      </c>
      <c r="AL26" s="71">
        <v>3.9229486855663565</v>
      </c>
    </row>
    <row r="27" spans="2:60">
      <c r="B27" s="71" t="b">
        <v>1</v>
      </c>
      <c r="C27" s="71" t="b">
        <v>1</v>
      </c>
    </row>
    <row r="28" spans="2:60">
      <c r="B28" s="89" t="b">
        <v>1</v>
      </c>
      <c r="C28" s="89" t="b">
        <v>1</v>
      </c>
    </row>
    <row r="29" spans="2:60">
      <c r="B29" s="89" t="b">
        <v>1</v>
      </c>
      <c r="C29" s="89" t="b">
        <v>1</v>
      </c>
    </row>
    <row r="30" spans="2:60">
      <c r="B30" s="90" t="b">
        <v>1</v>
      </c>
      <c r="C30" s="90" t="b">
        <v>1</v>
      </c>
    </row>
    <row r="31" spans="2:60">
      <c r="B31" s="90" t="b">
        <v>1</v>
      </c>
      <c r="C31" s="90" t="b">
        <v>1</v>
      </c>
    </row>
    <row r="32" spans="2:60">
      <c r="B32" s="90" t="b">
        <v>1</v>
      </c>
      <c r="C32" s="90" t="b">
        <v>1</v>
      </c>
      <c r="D32" s="89"/>
    </row>
    <row r="33" spans="2:5">
      <c r="B33" s="90" t="b">
        <v>1</v>
      </c>
      <c r="C33" s="90" t="b">
        <v>0</v>
      </c>
      <c r="D33" s="89"/>
    </row>
    <row r="34" spans="2:5">
      <c r="B34" s="90" t="b">
        <v>0</v>
      </c>
      <c r="C34" s="90"/>
    </row>
    <row r="35" spans="2:5">
      <c r="B35" s="90" t="b">
        <v>1</v>
      </c>
      <c r="C35" s="90" t="b">
        <v>0</v>
      </c>
      <c r="E35" s="82" t="s">
        <v>387</v>
      </c>
    </row>
    <row r="36" spans="2:5">
      <c r="B36" s="90" t="b">
        <v>0</v>
      </c>
      <c r="C36" s="90" t="b">
        <v>0</v>
      </c>
    </row>
    <row r="37" spans="2:5">
      <c r="B37" s="90" t="b">
        <v>0</v>
      </c>
      <c r="C37" s="90" t="b">
        <v>0</v>
      </c>
    </row>
    <row r="38" spans="2:5">
      <c r="B38" s="90" t="b">
        <v>0</v>
      </c>
      <c r="C38" s="90"/>
    </row>
  </sheetData>
  <sheetProtection algorithmName="SHA-512" hashValue="vfF0H3rO4It9W/k6JMHOF5pFXTniwbaF9w+XW/vRllOneyTemH31PgcsXyUo/3TMK1YptNpPGSWI72NDO2x+7g==" saltValue="Sg00T/FVYcfstxU3FO62EQ==" spinCount="100000" sheet="1" objects="1" scenarios="1"/>
  <mergeCells count="8">
    <mergeCell ref="AT1:AT2"/>
    <mergeCell ref="Q1:Q2"/>
    <mergeCell ref="R1:R2"/>
    <mergeCell ref="AN1:AR1"/>
    <mergeCell ref="T1:X1"/>
    <mergeCell ref="Y1:AC1"/>
    <mergeCell ref="AD1:AH1"/>
    <mergeCell ref="AI1:AM1"/>
  </mergeCells>
  <phoneticPr fontId="7" type="noConversion"/>
  <printOptions horizontalCentered="1" verticalCentered="1"/>
  <pageMargins left="0.78740157480314965" right="0.78740157480314965" top="0.15748031496062992" bottom="0.15748031496062992" header="0" footer="0"/>
  <pageSetup scale="97" orientation="landscape" r:id="rId1"/>
  <ignoredErrors>
    <ignoredError sqref="E35" numberStoredAsText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6" r:id="rId4" name="Button 8">
              <controlPr defaultSize="0" print="0" autoFill="0" autoPict="0" macro="[0]!Suma">
                <anchor moveWithCells="1" sizeWithCells="1">
                  <from>
                    <xdr:col>2</xdr:col>
                    <xdr:colOff>28575</xdr:colOff>
                    <xdr:row>37</xdr:row>
                    <xdr:rowOff>171450</xdr:rowOff>
                  </from>
                  <to>
                    <xdr:col>6</xdr:col>
                    <xdr:colOff>28575</xdr:colOff>
                    <xdr:row>39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993" r:id="rId5" name="Label 2825">
              <controlPr defaultSize="0" autoFill="0" autoLine="0" autoPict="0" altText="SELECTED INDICATORS">
                <anchor moveWithCells="1">
                  <from>
                    <xdr:col>1</xdr:col>
                    <xdr:colOff>76200</xdr:colOff>
                    <xdr:row>16</xdr:row>
                    <xdr:rowOff>123825</xdr:rowOff>
                  </from>
                  <to>
                    <xdr:col>3</xdr:col>
                    <xdr:colOff>104775</xdr:colOff>
                    <xdr:row>17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97" r:id="rId6" name="Check Box 3761">
              <controlPr defaultSize="0" autoFill="0" autoLine="0" autoPict="0" macro="[0]!Casilla3761_Haga_clic_en">
                <anchor moveWithCells="1">
                  <from>
                    <xdr:col>1</xdr:col>
                    <xdr:colOff>19050</xdr:colOff>
                    <xdr:row>17</xdr:row>
                    <xdr:rowOff>152400</xdr:rowOff>
                  </from>
                  <to>
                    <xdr:col>3</xdr:col>
                    <xdr:colOff>485775</xdr:colOff>
                    <xdr:row>18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98" r:id="rId7" name="Check Box 3762">
              <controlPr defaultSize="0" autoFill="0" autoLine="0" autoPict="0">
                <anchor moveWithCells="1">
                  <from>
                    <xdr:col>1</xdr:col>
                    <xdr:colOff>314325</xdr:colOff>
                    <xdr:row>18</xdr:row>
                    <xdr:rowOff>190500</xdr:rowOff>
                  </from>
                  <to>
                    <xdr:col>4</xdr:col>
                    <xdr:colOff>314325</xdr:colOff>
                    <xdr:row>20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99" r:id="rId8" name="Check Box 3763">
              <controlPr defaultSize="0" autoFill="0" autoLine="0" autoPict="0">
                <anchor moveWithCells="1">
                  <from>
                    <xdr:col>1</xdr:col>
                    <xdr:colOff>381000</xdr:colOff>
                    <xdr:row>20</xdr:row>
                    <xdr:rowOff>57150</xdr:rowOff>
                  </from>
                  <to>
                    <xdr:col>4</xdr:col>
                    <xdr:colOff>390525</xdr:colOff>
                    <xdr:row>21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00" r:id="rId9" name="Check Box 3764">
              <controlPr defaultSize="0" autoFill="0" autoLine="0" autoPict="0" macro="[0]!Casilla3764_Haga_clic_en">
                <anchor moveWithCells="1">
                  <from>
                    <xdr:col>1</xdr:col>
                    <xdr:colOff>190500</xdr:colOff>
                    <xdr:row>21</xdr:row>
                    <xdr:rowOff>133350</xdr:rowOff>
                  </from>
                  <to>
                    <xdr:col>5</xdr:col>
                    <xdr:colOff>57150</xdr:colOff>
                    <xdr:row>22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01" r:id="rId10" name="Check Box 3765">
              <controlPr defaultSize="0" autoFill="0" autoLine="0" autoPict="0">
                <anchor moveWithCells="1">
                  <from>
                    <xdr:col>1</xdr:col>
                    <xdr:colOff>476250</xdr:colOff>
                    <xdr:row>22</xdr:row>
                    <xdr:rowOff>180975</xdr:rowOff>
                  </from>
                  <to>
                    <xdr:col>5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02" r:id="rId11" name="Check Box 3766">
              <controlPr defaultSize="0" autoFill="0" autoLine="0" autoPict="0">
                <anchor moveWithCells="1">
                  <from>
                    <xdr:col>1</xdr:col>
                    <xdr:colOff>533400</xdr:colOff>
                    <xdr:row>24</xdr:row>
                    <xdr:rowOff>19050</xdr:rowOff>
                  </from>
                  <to>
                    <xdr:col>4</xdr:col>
                    <xdr:colOff>514350</xdr:colOff>
                    <xdr:row>25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03" r:id="rId12" name="Check Box 3767">
              <controlPr defaultSize="0" autoFill="0" autoLine="0" autoPict="0" macro="[0]!Casilla3767_Haga_clic_en">
                <anchor moveWithCells="1">
                  <from>
                    <xdr:col>1</xdr:col>
                    <xdr:colOff>371475</xdr:colOff>
                    <xdr:row>25</xdr:row>
                    <xdr:rowOff>114300</xdr:rowOff>
                  </from>
                  <to>
                    <xdr:col>3</xdr:col>
                    <xdr:colOff>476250</xdr:colOff>
                    <xdr:row>26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04" r:id="rId13" name="Check Box 3768">
              <controlPr defaultSize="0" autoFill="0" autoLine="0" autoPict="0">
                <anchor moveWithCells="1">
                  <from>
                    <xdr:col>1</xdr:col>
                    <xdr:colOff>657225</xdr:colOff>
                    <xdr:row>26</xdr:row>
                    <xdr:rowOff>171450</xdr:rowOff>
                  </from>
                  <to>
                    <xdr:col>5</xdr:col>
                    <xdr:colOff>561975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05" r:id="rId14" name="Check Box 3769">
              <controlPr defaultSize="0" autoFill="0" autoLine="0" autoPict="0">
                <anchor moveWithCells="1">
                  <from>
                    <xdr:col>1</xdr:col>
                    <xdr:colOff>714375</xdr:colOff>
                    <xdr:row>28</xdr:row>
                    <xdr:rowOff>19050</xdr:rowOff>
                  </from>
                  <to>
                    <xdr:col>4</xdr:col>
                    <xdr:colOff>228600</xdr:colOff>
                    <xdr:row>29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06" r:id="rId15" name="Check Box 3770">
              <controlPr defaultSize="0" autoFill="0" autoLine="0" autoPict="0" macro="[0]!Casilla3770_Haga_clic_en">
                <anchor moveWithCells="1">
                  <from>
                    <xdr:col>1</xdr:col>
                    <xdr:colOff>504825</xdr:colOff>
                    <xdr:row>29</xdr:row>
                    <xdr:rowOff>28575</xdr:rowOff>
                  </from>
                  <to>
                    <xdr:col>5</xdr:col>
                    <xdr:colOff>533400</xdr:colOff>
                    <xdr:row>30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07" r:id="rId16" name="Check Box 3771">
              <controlPr defaultSize="0" autoFill="0" autoLine="0" autoPict="0">
                <anchor moveWithCells="1">
                  <from>
                    <xdr:col>2</xdr:col>
                    <xdr:colOff>38100</xdr:colOff>
                    <xdr:row>30</xdr:row>
                    <xdr:rowOff>76200</xdr:rowOff>
                  </from>
                  <to>
                    <xdr:col>5</xdr:col>
                    <xdr:colOff>390525</xdr:colOff>
                    <xdr:row>31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08" r:id="rId17" name="Check Box 3772">
              <controlPr defaultSize="0" autoFill="0" autoLine="0" autoPict="0">
                <anchor moveWithCells="1">
                  <from>
                    <xdr:col>2</xdr:col>
                    <xdr:colOff>85725</xdr:colOff>
                    <xdr:row>31</xdr:row>
                    <xdr:rowOff>95250</xdr:rowOff>
                  </from>
                  <to>
                    <xdr:col>5</xdr:col>
                    <xdr:colOff>276225</xdr:colOff>
                    <xdr:row>32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09" r:id="rId18" name="Check Box 3773">
              <controlPr defaultSize="0" autoFill="0" autoLine="0" autoPict="0" macro="[0]!Casilla3773_Haga_clic_en">
                <anchor moveWithCells="1">
                  <from>
                    <xdr:col>1</xdr:col>
                    <xdr:colOff>676275</xdr:colOff>
                    <xdr:row>32</xdr:row>
                    <xdr:rowOff>123825</xdr:rowOff>
                  </from>
                  <to>
                    <xdr:col>6</xdr:col>
                    <xdr:colOff>38100</xdr:colOff>
                    <xdr:row>33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86" r:id="rId19" name="Check Box 3950">
              <controlPr defaultSize="0" autoFill="0" autoLine="0" autoPict="0" macro="[0]!Casilla3950_Haga_clic_en" altText="Indicador K52">
                <anchor moveWithCells="1">
                  <from>
                    <xdr:col>2</xdr:col>
                    <xdr:colOff>95250</xdr:colOff>
                    <xdr:row>36</xdr:row>
                    <xdr:rowOff>47625</xdr:rowOff>
                  </from>
                  <to>
                    <xdr:col>6</xdr:col>
                    <xdr:colOff>180975</xdr:colOff>
                    <xdr:row>37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87" r:id="rId20" name="Check Box 3951">
              <controlPr defaultSize="0" autoFill="0" autoLine="0" autoPict="0">
                <anchor moveWithCells="1">
                  <from>
                    <xdr:col>2</xdr:col>
                    <xdr:colOff>190500</xdr:colOff>
                    <xdr:row>33</xdr:row>
                    <xdr:rowOff>152400</xdr:rowOff>
                  </from>
                  <to>
                    <xdr:col>4</xdr:col>
                    <xdr:colOff>104775</xdr:colOff>
                    <xdr:row>35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88" r:id="rId21" name="Check Box 3952">
              <controlPr defaultSize="0" autoFill="0" autoLine="0" autoPict="0">
                <anchor moveWithCells="1">
                  <from>
                    <xdr:col>2</xdr:col>
                    <xdr:colOff>247650</xdr:colOff>
                    <xdr:row>35</xdr:row>
                    <xdr:rowOff>0</xdr:rowOff>
                  </from>
                  <to>
                    <xdr:col>4</xdr:col>
                    <xdr:colOff>342900</xdr:colOff>
                    <xdr:row>36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2"/>
  <dimension ref="A1"/>
  <sheetViews>
    <sheetView topLeftCell="A19" zoomScale="80" zoomScaleNormal="80" workbookViewId="0">
      <selection activeCell="W40" sqref="W40"/>
    </sheetView>
  </sheetViews>
  <sheetFormatPr defaultColWidth="8.875" defaultRowHeight="14.25"/>
  <cols>
    <col min="1" max="1" width="11.5" customWidth="1"/>
  </cols>
  <sheetData/>
  <phoneticPr fontId="0" type="noConversion"/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Plan1</vt:lpstr>
      <vt:lpstr>Calculation</vt:lpstr>
      <vt:lpstr>Visualization</vt:lpstr>
      <vt:lpstr>Plan5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LAFTA</dc:creator>
  <cp:lastModifiedBy>Feni</cp:lastModifiedBy>
  <cp:lastPrinted>2019-02-18T08:10:18Z</cp:lastPrinted>
  <dcterms:created xsi:type="dcterms:W3CDTF">2016-11-10T11:28:05Z</dcterms:created>
  <dcterms:modified xsi:type="dcterms:W3CDTF">2021-12-09T21:07:37Z</dcterms:modified>
</cp:coreProperties>
</file>