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veryhill/Desktop/"/>
    </mc:Choice>
  </mc:AlternateContent>
  <xr:revisionPtr revIDLastSave="0" documentId="13_ncr:1_{45836473-105E-ED4E-860C-DCF24B004458}" xr6:coauthVersionLast="36" xr6:coauthVersionMax="36" xr10:uidLastSave="{00000000-0000-0000-0000-000000000000}"/>
  <bookViews>
    <workbookView xWindow="-38000" yWindow="460" windowWidth="36680" windowHeight="20380" xr2:uid="{E16674C5-0403-0347-9455-CFCCDA122E16}"/>
  </bookViews>
  <sheets>
    <sheet name="Scenario Overview" sheetId="1" r:id="rId1"/>
    <sheet name="Scenario 1" sheetId="3" r:id="rId2"/>
    <sheet name="Scenario 2" sheetId="2" r:id="rId3"/>
    <sheet name="Scenario 3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D32" i="1"/>
  <c r="C32" i="1"/>
  <c r="F32" i="1" s="1"/>
  <c r="E31" i="1"/>
  <c r="D31" i="1"/>
  <c r="C31" i="1"/>
  <c r="F31" i="1" s="1"/>
  <c r="I25" i="4"/>
  <c r="I29" i="3"/>
  <c r="T41" i="4"/>
  <c r="I41" i="4"/>
  <c r="T41" i="3"/>
  <c r="I41" i="3"/>
  <c r="B64" i="4" l="1"/>
  <c r="B63" i="4"/>
  <c r="B69" i="4" s="1"/>
  <c r="T57" i="4"/>
  <c r="I57" i="4"/>
  <c r="R56" i="4"/>
  <c r="Q56" i="4"/>
  <c r="O56" i="4"/>
  <c r="G56" i="4"/>
  <c r="F56" i="4"/>
  <c r="D56" i="4"/>
  <c r="O54" i="4"/>
  <c r="P54" i="4" s="1"/>
  <c r="D54" i="4"/>
  <c r="D55" i="4" s="1"/>
  <c r="T46" i="4"/>
  <c r="I46" i="4"/>
  <c r="R45" i="4"/>
  <c r="Q45" i="4"/>
  <c r="O45" i="4"/>
  <c r="G45" i="4"/>
  <c r="F45" i="4"/>
  <c r="D45" i="4"/>
  <c r="O43" i="4"/>
  <c r="P43" i="4" s="1"/>
  <c r="D43" i="4"/>
  <c r="E43" i="4" s="1"/>
  <c r="E44" i="4" s="1"/>
  <c r="I44" i="4" s="1"/>
  <c r="T42" i="4"/>
  <c r="I42" i="4"/>
  <c r="I34" i="4"/>
  <c r="G33" i="4"/>
  <c r="F33" i="4"/>
  <c r="D33" i="4"/>
  <c r="D31" i="4"/>
  <c r="D32" i="4" s="1"/>
  <c r="D31" i="3"/>
  <c r="D32" i="3" s="1"/>
  <c r="T57" i="3"/>
  <c r="I57" i="3"/>
  <c r="R56" i="3"/>
  <c r="Q56" i="3"/>
  <c r="O56" i="3"/>
  <c r="G56" i="3"/>
  <c r="F56" i="3"/>
  <c r="D56" i="3"/>
  <c r="O54" i="3"/>
  <c r="O55" i="3" s="1"/>
  <c r="D54" i="3"/>
  <c r="D55" i="3" s="1"/>
  <c r="T42" i="3"/>
  <c r="R45" i="3"/>
  <c r="Q45" i="3"/>
  <c r="O45" i="3"/>
  <c r="O43" i="3"/>
  <c r="P43" i="3" s="1"/>
  <c r="P44" i="3" s="1"/>
  <c r="I42" i="3"/>
  <c r="G45" i="3"/>
  <c r="F45" i="3"/>
  <c r="I45" i="3" s="1"/>
  <c r="D45" i="3"/>
  <c r="D43" i="3"/>
  <c r="D44" i="3" s="1"/>
  <c r="T46" i="3"/>
  <c r="I46" i="3"/>
  <c r="G33" i="3"/>
  <c r="F33" i="3"/>
  <c r="D33" i="3"/>
  <c r="I34" i="3"/>
  <c r="D31" i="2"/>
  <c r="E31" i="2" s="1"/>
  <c r="D69" i="2"/>
  <c r="D68" i="2"/>
  <c r="E69" i="2"/>
  <c r="E68" i="2"/>
  <c r="C69" i="2"/>
  <c r="C68" i="2"/>
  <c r="F68" i="2"/>
  <c r="T58" i="2"/>
  <c r="R57" i="2"/>
  <c r="Q57" i="2"/>
  <c r="O57" i="2"/>
  <c r="T57" i="2" s="1"/>
  <c r="O56" i="2"/>
  <c r="O55" i="2"/>
  <c r="P55" i="2" s="1"/>
  <c r="E55" i="2"/>
  <c r="E56" i="2" s="1"/>
  <c r="D55" i="2"/>
  <c r="I58" i="2"/>
  <c r="G57" i="2"/>
  <c r="F57" i="2"/>
  <c r="D57" i="2"/>
  <c r="D56" i="2"/>
  <c r="I55" i="2"/>
  <c r="I46" i="2"/>
  <c r="T46" i="2"/>
  <c r="R45" i="2"/>
  <c r="Q45" i="2"/>
  <c r="T45" i="2" s="1"/>
  <c r="O45" i="2"/>
  <c r="O43" i="2"/>
  <c r="O44" i="2" s="1"/>
  <c r="D45" i="2"/>
  <c r="E43" i="2"/>
  <c r="E44" i="2" s="1"/>
  <c r="I44" i="2" s="1"/>
  <c r="D43" i="2"/>
  <c r="D44" i="2" s="1"/>
  <c r="G45" i="2"/>
  <c r="F45" i="2"/>
  <c r="I45" i="2" s="1"/>
  <c r="I34" i="2"/>
  <c r="G33" i="2"/>
  <c r="F33" i="2"/>
  <c r="D33" i="2"/>
  <c r="I33" i="2" s="1"/>
  <c r="I57" i="2" l="1"/>
  <c r="I43" i="2"/>
  <c r="T56" i="3"/>
  <c r="I56" i="3"/>
  <c r="O44" i="3"/>
  <c r="T44" i="3" s="1"/>
  <c r="T45" i="3"/>
  <c r="I33" i="3"/>
  <c r="T56" i="4"/>
  <c r="E31" i="4"/>
  <c r="E32" i="4" s="1"/>
  <c r="I33" i="4"/>
  <c r="I45" i="4"/>
  <c r="B68" i="4"/>
  <c r="E54" i="4"/>
  <c r="E55" i="4" s="1"/>
  <c r="I55" i="4" s="1"/>
  <c r="D44" i="4"/>
  <c r="I56" i="4"/>
  <c r="O44" i="4"/>
  <c r="I32" i="4"/>
  <c r="T45" i="4"/>
  <c r="O55" i="4"/>
  <c r="P44" i="4"/>
  <c r="T43" i="4"/>
  <c r="P55" i="4"/>
  <c r="T54" i="4"/>
  <c r="I43" i="4"/>
  <c r="I31" i="4"/>
  <c r="P54" i="3"/>
  <c r="P55" i="3" s="1"/>
  <c r="T55" i="3" s="1"/>
  <c r="E54" i="3"/>
  <c r="E55" i="3" s="1"/>
  <c r="I55" i="3" s="1"/>
  <c r="E43" i="3"/>
  <c r="E31" i="3"/>
  <c r="E32" i="3" s="1"/>
  <c r="I32" i="3" s="1"/>
  <c r="E32" i="2"/>
  <c r="I31" i="2"/>
  <c r="D32" i="2"/>
  <c r="F69" i="2"/>
  <c r="T55" i="2"/>
  <c r="P56" i="2"/>
  <c r="T56" i="2" s="1"/>
  <c r="I56" i="2"/>
  <c r="I59" i="2" s="1"/>
  <c r="P43" i="2"/>
  <c r="P44" i="2" s="1"/>
  <c r="T44" i="2" s="1"/>
  <c r="I47" i="2"/>
  <c r="I32" i="2" l="1"/>
  <c r="I35" i="2" s="1"/>
  <c r="I47" i="4"/>
  <c r="D63" i="4" s="1"/>
  <c r="D68" i="4" s="1"/>
  <c r="I54" i="4"/>
  <c r="T55" i="4"/>
  <c r="T44" i="4"/>
  <c r="T47" i="4" s="1"/>
  <c r="D64" i="4" s="1"/>
  <c r="D69" i="4" s="1"/>
  <c r="I58" i="4"/>
  <c r="E63" i="4" s="1"/>
  <c r="E68" i="4" s="1"/>
  <c r="I35" i="4"/>
  <c r="C63" i="4" s="1"/>
  <c r="C68" i="4" s="1"/>
  <c r="T58" i="4"/>
  <c r="E64" i="4" s="1"/>
  <c r="E69" i="4" s="1"/>
  <c r="I54" i="3"/>
  <c r="I58" i="3" s="1"/>
  <c r="E63" i="3" s="1"/>
  <c r="E68" i="3" s="1"/>
  <c r="T54" i="3"/>
  <c r="T58" i="3" s="1"/>
  <c r="E64" i="3" s="1"/>
  <c r="E69" i="3" s="1"/>
  <c r="E44" i="3"/>
  <c r="I44" i="3" s="1"/>
  <c r="I43" i="3"/>
  <c r="T43" i="3"/>
  <c r="T47" i="3" s="1"/>
  <c r="D64" i="3" s="1"/>
  <c r="D69" i="3" s="1"/>
  <c r="I31" i="3"/>
  <c r="I35" i="3" s="1"/>
  <c r="T59" i="2"/>
  <c r="T43" i="2"/>
  <c r="T47" i="2" s="1"/>
  <c r="I47" i="3" l="1"/>
  <c r="D63" i="3" s="1"/>
  <c r="D68" i="3" s="1"/>
  <c r="F68" i="4"/>
  <c r="C64" i="4"/>
  <c r="C69" i="4" s="1"/>
  <c r="F69" i="4" s="1"/>
  <c r="C64" i="3"/>
  <c r="C69" i="3" s="1"/>
  <c r="F69" i="3" s="1"/>
  <c r="C63" i="3"/>
  <c r="C68" i="3" s="1"/>
  <c r="F68" i="3" l="1"/>
</calcChain>
</file>

<file path=xl/sharedStrings.xml><?xml version="1.0" encoding="utf-8"?>
<sst xmlns="http://schemas.openxmlformats.org/spreadsheetml/2006/main" count="1020" uniqueCount="120">
  <si>
    <t>Segment</t>
  </si>
  <si>
    <t>Leq (kg/kg)</t>
  </si>
  <si>
    <t>Veq (kg/m^3)</t>
  </si>
  <si>
    <t>Peq (kg/kW)</t>
  </si>
  <si>
    <t>Ceq (kg/kW)</t>
  </si>
  <si>
    <t>Teq</t>
  </si>
  <si>
    <t>Number of Days</t>
  </si>
  <si>
    <t>Number of days food eaten</t>
  </si>
  <si>
    <t>pd (P)</t>
  </si>
  <si>
    <t>tr (T)</t>
  </si>
  <si>
    <t>su (S)</t>
  </si>
  <si>
    <t>Scenario</t>
  </si>
  <si>
    <t>Predeployment</t>
  </si>
  <si>
    <t>Transit</t>
  </si>
  <si>
    <t>Surface</t>
  </si>
  <si>
    <t>1 (P1-T3-S2)</t>
  </si>
  <si>
    <t>500 days of operation</t>
  </si>
  <si>
    <t>2 (P1-T4-S1)</t>
  </si>
  <si>
    <t>No Biomanufacturing</t>
  </si>
  <si>
    <t>5 (P4-T2-S2)</t>
  </si>
  <si>
    <t>Send biomanufacturing system</t>
  </si>
  <si>
    <t>Bring transit time food + 50 days food</t>
  </si>
  <si>
    <t>Return Transit</t>
  </si>
  <si>
    <t xml:space="preserve">Initial Transit </t>
  </si>
  <si>
    <t>Bring transit food + 500 days food + return transit food</t>
  </si>
  <si>
    <t>Return Transit Food</t>
  </si>
  <si>
    <t>Predeployment - 210 days, 6 CMs</t>
  </si>
  <si>
    <t>Data Source</t>
  </si>
  <si>
    <t>Item</t>
  </si>
  <si>
    <t>M</t>
  </si>
  <si>
    <t>V</t>
  </si>
  <si>
    <t>P</t>
  </si>
  <si>
    <t>C</t>
  </si>
  <si>
    <t>T</t>
  </si>
  <si>
    <t>ESM Total</t>
  </si>
  <si>
    <t>N/a</t>
  </si>
  <si>
    <t>Assumptions</t>
  </si>
  <si>
    <t xml:space="preserve">Data Source </t>
  </si>
  <si>
    <t xml:space="preserve">Value </t>
  </si>
  <si>
    <t>Daily Dry Mass Food Requirements</t>
  </si>
  <si>
    <t>Packaging mass from Dry Mass Requirements</t>
  </si>
  <si>
    <t>Packing volume from Dry Mass Requirements</t>
  </si>
  <si>
    <t>Transit (210 days)</t>
  </si>
  <si>
    <t>Surface (500 days)</t>
  </si>
  <si>
    <t>Return Transit (210 days)</t>
  </si>
  <si>
    <t>BVAD</t>
  </si>
  <si>
    <t>0.617 (kg/CM-d)</t>
  </si>
  <si>
    <t>1.33*10^-3 m^3/kg</t>
  </si>
  <si>
    <t>Scenario (6 CMs)</t>
  </si>
  <si>
    <t>\+16.5% of food</t>
  </si>
  <si>
    <t>BioM</t>
  </si>
  <si>
    <t>Crop reactor/Plant growth chamber</t>
  </si>
  <si>
    <t>ALSSAT</t>
  </si>
  <si>
    <t>Crop storage</t>
  </si>
  <si>
    <t>Food</t>
  </si>
  <si>
    <t xml:space="preserve">Packaging </t>
  </si>
  <si>
    <t>Processing</t>
  </si>
  <si>
    <t>Transit to Mars - 210 days, 6 CMs</t>
  </si>
  <si>
    <t>Subsystem</t>
  </si>
  <si>
    <t>Fridge Mass</t>
  </si>
  <si>
    <t>BVAD (Page 119)</t>
  </si>
  <si>
    <t>321 kg (Refrigerator/freezer mode)</t>
  </si>
  <si>
    <t>Fridge Volume</t>
  </si>
  <si>
    <t>2 m^3 (Rack included)</t>
  </si>
  <si>
    <t xml:space="preserve">Fridge Power </t>
  </si>
  <si>
    <t>0.205 kW</t>
  </si>
  <si>
    <t>Fridge Cooling</t>
  </si>
  <si>
    <t>0.228 kW</t>
  </si>
  <si>
    <t>BVAD (Page 122)</t>
  </si>
  <si>
    <t>BVAD ( Page 122)</t>
  </si>
  <si>
    <t>Inferred from BVAD (Page 122)</t>
  </si>
  <si>
    <t xml:space="preserve">Water Volume Daily </t>
  </si>
  <si>
    <t>0.004 (m^3/CM-d)</t>
  </si>
  <si>
    <t>Volume Associated with Daily Food Requirement</t>
  </si>
  <si>
    <t>Biomanufacturing System</t>
  </si>
  <si>
    <t>Food processing Requirements</t>
  </si>
  <si>
    <t>Varies based on mission segment</t>
  </si>
  <si>
    <t>Food - 210 (initial transit) + 500 (surface) + 210 (return)</t>
  </si>
  <si>
    <t>Fridges - 5 needed</t>
  </si>
  <si>
    <t>Extended ESM</t>
  </si>
  <si>
    <t>Regular ESM</t>
  </si>
  <si>
    <t>Location and Equivalency Factor Assumptions</t>
  </si>
  <si>
    <t>Surface Operations - 500 days, 6 CMs</t>
  </si>
  <si>
    <t>Return Transit - 210 days, 6 CMs</t>
  </si>
  <si>
    <t>Summary</t>
  </si>
  <si>
    <t>Transit to Mars</t>
  </si>
  <si>
    <t>Surface Operations</t>
  </si>
  <si>
    <t>Calculation with location factors</t>
  </si>
  <si>
    <t>Total</t>
  </si>
  <si>
    <t>Bring transit food + 500 days food + 210 days return food</t>
  </si>
  <si>
    <t>210 days food</t>
  </si>
  <si>
    <t>Initial transit food + biomanufacturing + 50 days of food + 210 days return transit food</t>
  </si>
  <si>
    <t>Crop Storage Volume Factor</t>
  </si>
  <si>
    <t>BVAD (Page 123)</t>
  </si>
  <si>
    <t>7.69*10^-3 m^3/kg</t>
  </si>
  <si>
    <t>Food - 500 (surface) + 210 (return)</t>
  </si>
  <si>
    <t>Food - 50 (surface) + 210 (return)</t>
  </si>
  <si>
    <t>Fridges - 3 needed</t>
  </si>
  <si>
    <t>P (kW)</t>
  </si>
  <si>
    <t>C (kW)</t>
  </si>
  <si>
    <t>V (m^3)</t>
  </si>
  <si>
    <t>M (kg)</t>
  </si>
  <si>
    <t xml:space="preserve">T </t>
  </si>
  <si>
    <t>Food -  210 (return)</t>
  </si>
  <si>
    <t>Food - 210 (return)</t>
  </si>
  <si>
    <t>210 days prepackaged food</t>
  </si>
  <si>
    <t>Send Biomanufacturing System</t>
  </si>
  <si>
    <t>210 days grown food</t>
  </si>
  <si>
    <t>Food - 210 (initial transit) + 50 (surface) + 210 (return)</t>
  </si>
  <si>
    <t>Food -  500 (surface) + 210 (return)</t>
  </si>
  <si>
    <t>Predeployment - 210 days</t>
  </si>
  <si>
    <t>Scenario 1</t>
  </si>
  <si>
    <t>Scenario 2</t>
  </si>
  <si>
    <t>Scenario 3</t>
  </si>
  <si>
    <t>Transit food + biomanufacturing + 50 days of food +210 days return food</t>
  </si>
  <si>
    <t>LED lighting system for crop growth - power requirement</t>
  </si>
  <si>
    <t>Biomanufacturing System - not including lighting system</t>
  </si>
  <si>
    <t>Hardy ICES 2020</t>
  </si>
  <si>
    <t>0.221 kW</t>
  </si>
  <si>
    <t>Bring transit time food + 50 days food + 210 days return 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</si>
</sst>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/>
    <xf numFmtId="0" fontId="1" fillId="0" borderId="0" xfId="0" applyFont="1" applyAlignment="1">
      <alignment horizontal="left" vertical="top"/>
    </xf>
    <xf numFmtId="0" fontId="1" fillId="0" borderId="0" xfId="0" applyFont="1" applyAlignment="1"/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0" xfId="0" applyFont="1" applyBorder="1" applyAlignment="1">
      <alignment horizontal="left" vertical="top"/>
    </xf>
    <xf numFmtId="0" fontId="0" fillId="0" borderId="8" xfId="0" applyFont="1" applyBorder="1" applyAlignment="1">
      <alignment horizontal="left" vertical="top"/>
    </xf>
    <xf numFmtId="0" fontId="0" fillId="0" borderId="7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4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/>
    </xf>
    <xf numFmtId="0" fontId="0" fillId="0" borderId="6" xfId="0" applyFont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0" fillId="0" borderId="2" xfId="0" applyBorder="1"/>
    <xf numFmtId="0" fontId="0" fillId="0" borderId="3" xfId="0" applyBorder="1"/>
    <xf numFmtId="0" fontId="2" fillId="0" borderId="8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0" fillId="2" borderId="5" xfId="0" applyFont="1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0" xfId="0" applyFont="1" applyFill="1" applyAlignment="1">
      <alignment horizontal="left" vertical="top"/>
    </xf>
    <xf numFmtId="0" fontId="3" fillId="2" borderId="8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0" fillId="0" borderId="2" xfId="0" applyBorder="1" applyAlignment="1"/>
    <xf numFmtId="0" fontId="0" fillId="0" borderId="3" xfId="0" applyBorder="1" applyAlignment="1"/>
    <xf numFmtId="0" fontId="0" fillId="0" borderId="0" xfId="0" applyBorder="1" applyAlignment="1"/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4" fillId="2" borderId="5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Font="1" applyBorder="1" applyAlignment="1"/>
    <xf numFmtId="0" fontId="0" fillId="0" borderId="8" xfId="0" applyFont="1" applyBorder="1" applyAlignment="1"/>
    <xf numFmtId="0" fontId="0" fillId="2" borderId="8" xfId="0" applyFont="1" applyFill="1" applyBorder="1" applyAlignment="1">
      <alignment horizontal="left" vertical="top"/>
    </xf>
    <xf numFmtId="0" fontId="0" fillId="0" borderId="0" xfId="0" applyFont="1"/>
    <xf numFmtId="0" fontId="0" fillId="2" borderId="6" xfId="0" applyFont="1" applyFill="1" applyBorder="1" applyAlignment="1">
      <alignment horizontal="left" vertical="top"/>
    </xf>
    <xf numFmtId="0" fontId="0" fillId="2" borderId="3" xfId="0" applyFont="1" applyFill="1" applyBorder="1" applyAlignment="1">
      <alignment horizontal="left" vertical="top"/>
    </xf>
    <xf numFmtId="0" fontId="0" fillId="2" borderId="7" xfId="0" applyFont="1" applyFill="1" applyBorder="1" applyAlignment="1">
      <alignment horizontal="left" vertical="top"/>
    </xf>
    <xf numFmtId="0" fontId="0" fillId="2" borderId="4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AD673-9AB1-B049-AB11-FE13BF4A3931}">
  <dimension ref="A2:I43"/>
  <sheetViews>
    <sheetView tabSelected="1" topLeftCell="A5" workbookViewId="0">
      <selection activeCell="D4" sqref="D4"/>
    </sheetView>
  </sheetViews>
  <sheetFormatPr baseColWidth="10" defaultRowHeight="16"/>
  <cols>
    <col min="1" max="1" width="16.5" customWidth="1"/>
    <col min="2" max="2" width="27" customWidth="1"/>
    <col min="3" max="3" width="48.5" customWidth="1"/>
    <col min="4" max="4" width="21.6640625" customWidth="1"/>
    <col min="5" max="5" width="17.6640625" customWidth="1"/>
    <col min="7" max="7" width="16.5" customWidth="1"/>
  </cols>
  <sheetData>
    <row r="2" spans="1:9">
      <c r="A2" s="14" t="s">
        <v>11</v>
      </c>
      <c r="B2" s="14" t="s">
        <v>12</v>
      </c>
      <c r="C2" s="14" t="s">
        <v>23</v>
      </c>
      <c r="D2" s="14" t="s">
        <v>14</v>
      </c>
      <c r="E2" s="15" t="s">
        <v>22</v>
      </c>
      <c r="F2" s="13"/>
      <c r="G2" s="13"/>
      <c r="H2" s="13"/>
    </row>
    <row r="3" spans="1:9" ht="34">
      <c r="A3" s="3" t="s">
        <v>15</v>
      </c>
      <c r="B3" s="3">
        <v>0</v>
      </c>
      <c r="C3" s="8" t="s">
        <v>114</v>
      </c>
      <c r="D3" s="3" t="s">
        <v>16</v>
      </c>
      <c r="E3" s="3" t="s">
        <v>90</v>
      </c>
      <c r="F3" s="13"/>
      <c r="G3" s="13"/>
      <c r="H3" s="13"/>
    </row>
    <row r="4" spans="1:9" ht="34">
      <c r="A4" s="3" t="s">
        <v>17</v>
      </c>
      <c r="B4" s="3">
        <v>0</v>
      </c>
      <c r="C4" s="8" t="s">
        <v>89</v>
      </c>
      <c r="D4" s="3" t="s">
        <v>18</v>
      </c>
      <c r="E4" s="3" t="s">
        <v>90</v>
      </c>
      <c r="F4" s="13"/>
      <c r="G4" s="13"/>
      <c r="H4" s="13"/>
    </row>
    <row r="5" spans="1:9" ht="34">
      <c r="A5" s="3" t="s">
        <v>19</v>
      </c>
      <c r="B5" s="3" t="s">
        <v>20</v>
      </c>
      <c r="C5" s="8" t="s">
        <v>119</v>
      </c>
      <c r="D5" s="3" t="s">
        <v>16</v>
      </c>
      <c r="E5" s="3" t="s">
        <v>90</v>
      </c>
      <c r="F5" s="13"/>
      <c r="G5" s="13"/>
      <c r="H5" s="13"/>
    </row>
    <row r="6" spans="1:9">
      <c r="A6" s="13"/>
      <c r="B6" s="13"/>
      <c r="C6" s="13"/>
      <c r="D6" s="13"/>
      <c r="E6" s="13"/>
      <c r="F6" s="13"/>
      <c r="G6" s="13"/>
      <c r="H6" s="13"/>
    </row>
    <row r="7" spans="1:9">
      <c r="A7" s="2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8"/>
    </row>
    <row r="8" spans="1:9">
      <c r="A8" s="4" t="s">
        <v>8</v>
      </c>
      <c r="B8" s="4">
        <v>2.77</v>
      </c>
      <c r="C8" s="5">
        <v>9.16</v>
      </c>
      <c r="D8" s="5">
        <v>237</v>
      </c>
      <c r="E8" s="5">
        <v>40</v>
      </c>
      <c r="F8" s="5">
        <v>0.7</v>
      </c>
      <c r="G8" s="6">
        <v>210</v>
      </c>
      <c r="H8" s="6">
        <v>0</v>
      </c>
      <c r="I8" s="8"/>
    </row>
    <row r="9" spans="1:9">
      <c r="A9" s="4" t="s">
        <v>9</v>
      </c>
      <c r="B9" s="4">
        <v>10</v>
      </c>
      <c r="C9" s="4">
        <v>133.80000000000001</v>
      </c>
      <c r="D9" s="4">
        <v>136</v>
      </c>
      <c r="E9" s="4">
        <v>50</v>
      </c>
      <c r="F9" s="4">
        <v>0.7</v>
      </c>
      <c r="G9" s="4">
        <v>420</v>
      </c>
      <c r="H9" s="4">
        <v>420</v>
      </c>
      <c r="I9" s="8"/>
    </row>
    <row r="10" spans="1:9">
      <c r="A10" s="4" t="s">
        <v>10</v>
      </c>
      <c r="B10" s="4">
        <v>1</v>
      </c>
      <c r="C10" s="5">
        <v>9.16</v>
      </c>
      <c r="D10" s="5">
        <v>228</v>
      </c>
      <c r="E10" s="5">
        <v>145</v>
      </c>
      <c r="F10" s="5">
        <v>0.7</v>
      </c>
      <c r="G10" s="6">
        <v>500</v>
      </c>
      <c r="H10" s="6">
        <v>500</v>
      </c>
      <c r="I10" s="8"/>
    </row>
    <row r="11" spans="1:9">
      <c r="A11" s="13"/>
      <c r="B11" s="13"/>
      <c r="C11" s="13"/>
      <c r="D11" s="13"/>
      <c r="E11" s="13"/>
      <c r="F11" s="13"/>
      <c r="G11" s="13"/>
      <c r="H11" s="13"/>
    </row>
    <row r="12" spans="1:9">
      <c r="A12" s="58" t="s">
        <v>111</v>
      </c>
    </row>
    <row r="13" spans="1:9" ht="17">
      <c r="A13" s="86" t="s">
        <v>84</v>
      </c>
      <c r="B13" s="95" t="s">
        <v>12</v>
      </c>
      <c r="C13" s="95" t="s">
        <v>85</v>
      </c>
      <c r="D13" s="95" t="s">
        <v>86</v>
      </c>
      <c r="E13" s="95" t="s">
        <v>22</v>
      </c>
      <c r="F13" s="92"/>
    </row>
    <row r="14" spans="1:9">
      <c r="A14" s="93"/>
      <c r="B14" s="62"/>
      <c r="C14" s="62"/>
      <c r="D14" s="62"/>
      <c r="E14" s="62"/>
      <c r="F14" s="89"/>
    </row>
    <row r="15" spans="1:9">
      <c r="A15" s="93" t="s">
        <v>79</v>
      </c>
      <c r="B15" s="62">
        <v>0</v>
      </c>
      <c r="C15" s="69">
        <v>5605.9327433342796</v>
      </c>
      <c r="D15" s="69">
        <v>2285.4655984402402</v>
      </c>
      <c r="E15" s="62">
        <v>3854.7297448940399</v>
      </c>
      <c r="F15" s="89"/>
    </row>
    <row r="16" spans="1:9">
      <c r="A16" s="94" t="s">
        <v>80</v>
      </c>
      <c r="B16" s="63">
        <v>0</v>
      </c>
      <c r="C16" s="85">
        <v>5605.9327433342796</v>
      </c>
      <c r="D16" s="63">
        <v>5889.6413984402398</v>
      </c>
      <c r="E16" s="63">
        <v>3854.7297448940399</v>
      </c>
      <c r="F16" s="91"/>
    </row>
    <row r="17" spans="1:6">
      <c r="A17" s="69"/>
      <c r="B17" s="69"/>
      <c r="C17" s="69"/>
      <c r="D17" s="69"/>
      <c r="E17" s="69"/>
      <c r="F17" s="69"/>
    </row>
    <row r="18" spans="1:6" ht="34">
      <c r="A18" s="86" t="s">
        <v>87</v>
      </c>
      <c r="B18" s="95" t="s">
        <v>12</v>
      </c>
      <c r="C18" s="95" t="s">
        <v>85</v>
      </c>
      <c r="D18" s="95" t="s">
        <v>86</v>
      </c>
      <c r="E18" s="95" t="s">
        <v>22</v>
      </c>
      <c r="F18" s="96" t="s">
        <v>88</v>
      </c>
    </row>
    <row r="19" spans="1:6">
      <c r="A19" s="93"/>
      <c r="B19" s="62"/>
      <c r="C19" s="62"/>
      <c r="D19" s="62"/>
      <c r="E19" s="62"/>
      <c r="F19" s="89"/>
    </row>
    <row r="20" spans="1:6" ht="21">
      <c r="A20" s="93" t="s">
        <v>79</v>
      </c>
      <c r="B20" s="62">
        <v>0</v>
      </c>
      <c r="C20" s="62">
        <v>56059.327433342798</v>
      </c>
      <c r="D20" s="62">
        <v>2285.4655984402402</v>
      </c>
      <c r="E20" s="62">
        <v>38547.2974489404</v>
      </c>
      <c r="F20" s="97">
        <v>96892.090480723447</v>
      </c>
    </row>
    <row r="21" spans="1:6" ht="21">
      <c r="A21" s="94" t="s">
        <v>80</v>
      </c>
      <c r="B21" s="63">
        <v>0</v>
      </c>
      <c r="C21" s="63">
        <v>56059.327433342798</v>
      </c>
      <c r="D21" s="63">
        <v>5889.6413984402398</v>
      </c>
      <c r="E21" s="63">
        <v>38547.2974489404</v>
      </c>
      <c r="F21" s="98">
        <v>100496.26628072344</v>
      </c>
    </row>
    <row r="23" spans="1:6">
      <c r="A23" s="58" t="s">
        <v>112</v>
      </c>
    </row>
    <row r="24" spans="1:6" ht="17">
      <c r="A24" s="86" t="s">
        <v>84</v>
      </c>
      <c r="B24" s="95" t="s">
        <v>12</v>
      </c>
      <c r="C24" s="95" t="s">
        <v>85</v>
      </c>
      <c r="D24" s="95" t="s">
        <v>86</v>
      </c>
      <c r="E24" s="95" t="s">
        <v>22</v>
      </c>
      <c r="F24" s="92"/>
    </row>
    <row r="25" spans="1:6">
      <c r="A25" s="93"/>
      <c r="B25" s="62"/>
      <c r="C25" s="62"/>
      <c r="D25" s="62"/>
      <c r="E25" s="62"/>
      <c r="F25" s="89"/>
    </row>
    <row r="26" spans="1:6">
      <c r="A26" s="93" t="s">
        <v>79</v>
      </c>
      <c r="B26" s="62">
        <v>0</v>
      </c>
      <c r="C26" s="69">
        <v>9614.5856299999996</v>
      </c>
      <c r="D26" s="69">
        <v>781.62398040000005</v>
      </c>
      <c r="E26" s="62">
        <v>3854.7297450000001</v>
      </c>
      <c r="F26" s="89"/>
    </row>
    <row r="27" spans="1:6">
      <c r="A27" s="94" t="s">
        <v>80</v>
      </c>
      <c r="B27" s="63">
        <v>0</v>
      </c>
      <c r="C27" s="85">
        <v>9614.5856299999996</v>
      </c>
      <c r="D27" s="63">
        <v>8113.7532799999999</v>
      </c>
      <c r="E27" s="63">
        <v>3854.7297450000001</v>
      </c>
      <c r="F27" s="91"/>
    </row>
    <row r="28" spans="1:6">
      <c r="A28" s="69"/>
      <c r="B28" s="69"/>
      <c r="C28" s="69"/>
      <c r="D28" s="69"/>
      <c r="E28" s="69"/>
      <c r="F28" s="69"/>
    </row>
    <row r="29" spans="1:6" ht="34">
      <c r="A29" s="86" t="s">
        <v>87</v>
      </c>
      <c r="B29" s="95" t="s">
        <v>12</v>
      </c>
      <c r="C29" s="95" t="s">
        <v>85</v>
      </c>
      <c r="D29" s="95" t="s">
        <v>86</v>
      </c>
      <c r="E29" s="95" t="s">
        <v>22</v>
      </c>
      <c r="F29" s="96" t="s">
        <v>88</v>
      </c>
    </row>
    <row r="30" spans="1:6">
      <c r="A30" s="93"/>
      <c r="B30" s="62"/>
      <c r="C30" s="62"/>
      <c r="D30" s="62"/>
      <c r="E30" s="62"/>
      <c r="F30" s="89"/>
    </row>
    <row r="31" spans="1:6" ht="21">
      <c r="A31" s="93" t="s">
        <v>79</v>
      </c>
      <c r="B31" s="62">
        <v>0</v>
      </c>
      <c r="C31" s="62">
        <f>C26*10</f>
        <v>96145.856299999999</v>
      </c>
      <c r="D31" s="62">
        <f>D26</f>
        <v>781.62398040000005</v>
      </c>
      <c r="E31" s="62">
        <f>E26*10</f>
        <v>38547.297449999998</v>
      </c>
      <c r="F31" s="97">
        <f>SUM(B31:E31)</f>
        <v>135474.7777304</v>
      </c>
    </row>
    <row r="32" spans="1:6" ht="21">
      <c r="A32" s="94" t="s">
        <v>80</v>
      </c>
      <c r="B32" s="63">
        <v>0</v>
      </c>
      <c r="C32" s="63">
        <f>C27*10</f>
        <v>96145.856299999999</v>
      </c>
      <c r="D32" s="63">
        <f>D27</f>
        <v>8113.7532799999999</v>
      </c>
      <c r="E32" s="63">
        <f>E27*10</f>
        <v>38547.297449999998</v>
      </c>
      <c r="F32" s="98">
        <f>SUM(B32:E32)</f>
        <v>142806.90703</v>
      </c>
    </row>
    <row r="34" spans="1:6">
      <c r="A34" s="1" t="s">
        <v>113</v>
      </c>
    </row>
    <row r="35" spans="1:6" ht="17">
      <c r="A35" s="86" t="s">
        <v>84</v>
      </c>
      <c r="B35" s="95" t="s">
        <v>12</v>
      </c>
      <c r="C35" s="95" t="s">
        <v>85</v>
      </c>
      <c r="D35" s="95" t="s">
        <v>86</v>
      </c>
      <c r="E35" s="95" t="s">
        <v>22</v>
      </c>
      <c r="F35" s="92"/>
    </row>
    <row r="36" spans="1:6">
      <c r="A36" s="93"/>
      <c r="B36" s="62"/>
      <c r="C36" s="62"/>
      <c r="D36" s="62"/>
      <c r="E36" s="62"/>
      <c r="F36" s="89"/>
    </row>
    <row r="37" spans="1:6">
      <c r="A37" s="93" t="s">
        <v>79</v>
      </c>
      <c r="B37" s="62">
        <v>399.16</v>
      </c>
      <c r="C37" s="69">
        <v>5206.7727433342798</v>
      </c>
      <c r="D37" s="69">
        <v>2285.4655984402402</v>
      </c>
      <c r="E37" s="62">
        <v>3854.7297448940399</v>
      </c>
      <c r="F37" s="89"/>
    </row>
    <row r="38" spans="1:6">
      <c r="A38" s="94" t="s">
        <v>80</v>
      </c>
      <c r="B38" s="63">
        <v>399.16</v>
      </c>
      <c r="C38" s="85">
        <v>5206.7727433342798</v>
      </c>
      <c r="D38" s="63">
        <v>5889.6413984402398</v>
      </c>
      <c r="E38" s="63">
        <v>3854.7297448940399</v>
      </c>
      <c r="F38" s="91"/>
    </row>
    <row r="39" spans="1:6">
      <c r="A39" s="69"/>
      <c r="B39" s="69"/>
      <c r="C39" s="69"/>
      <c r="D39" s="69"/>
      <c r="E39" s="69"/>
      <c r="F39" s="69"/>
    </row>
    <row r="40" spans="1:6" ht="34">
      <c r="A40" s="86" t="s">
        <v>87</v>
      </c>
      <c r="B40" s="95" t="s">
        <v>12</v>
      </c>
      <c r="C40" s="95" t="s">
        <v>85</v>
      </c>
      <c r="D40" s="95" t="s">
        <v>86</v>
      </c>
      <c r="E40" s="95" t="s">
        <v>22</v>
      </c>
      <c r="F40" s="96" t="s">
        <v>88</v>
      </c>
    </row>
    <row r="41" spans="1:6">
      <c r="A41" s="93"/>
      <c r="B41" s="62"/>
      <c r="C41" s="62"/>
      <c r="D41" s="62"/>
      <c r="E41" s="62"/>
      <c r="F41" s="89"/>
    </row>
    <row r="42" spans="1:6" ht="21">
      <c r="A42" s="93" t="s">
        <v>79</v>
      </c>
      <c r="B42" s="62">
        <v>1105.6732000000002</v>
      </c>
      <c r="C42" s="62">
        <v>52067.727433342799</v>
      </c>
      <c r="D42" s="62">
        <v>2285.4655984402402</v>
      </c>
      <c r="E42" s="62">
        <v>38547.2974489404</v>
      </c>
      <c r="F42" s="97">
        <v>94006.163680723432</v>
      </c>
    </row>
    <row r="43" spans="1:6" ht="21">
      <c r="A43" s="94" t="s">
        <v>80</v>
      </c>
      <c r="B43" s="63">
        <v>1105.6732000000002</v>
      </c>
      <c r="C43" s="63">
        <v>52067.727433342799</v>
      </c>
      <c r="D43" s="63">
        <v>5889.6413984402398</v>
      </c>
      <c r="E43" s="63">
        <v>38547.2974489404</v>
      </c>
      <c r="F43" s="98">
        <v>97610.339480723429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C9BF7-52A8-C74B-A9D2-9B1F2909941E}">
  <dimension ref="A2:T69"/>
  <sheetViews>
    <sheetView topLeftCell="A28" workbookViewId="0">
      <selection activeCell="B63" sqref="B63:E65"/>
    </sheetView>
  </sheetViews>
  <sheetFormatPr baseColWidth="10" defaultRowHeight="16"/>
  <cols>
    <col min="1" max="1" width="42.83203125" customWidth="1"/>
    <col min="2" max="2" width="22" customWidth="1"/>
    <col min="3" max="3" width="45" customWidth="1"/>
    <col min="4" max="4" width="20.83203125" customWidth="1"/>
    <col min="5" max="5" width="15.6640625" customWidth="1"/>
    <col min="6" max="6" width="13.83203125" customWidth="1"/>
    <col min="7" max="7" width="16" customWidth="1"/>
    <col min="8" max="8" width="13.6640625" customWidth="1"/>
    <col min="9" max="9" width="16" customWidth="1"/>
    <col min="11" max="11" width="18.6640625" customWidth="1"/>
    <col min="12" max="12" width="20.83203125" customWidth="1"/>
    <col min="20" max="20" width="12.5" customWidth="1"/>
  </cols>
  <sheetData>
    <row r="2" spans="1:13">
      <c r="A2" s="16" t="s">
        <v>11</v>
      </c>
      <c r="B2" s="17" t="s">
        <v>12</v>
      </c>
      <c r="C2" s="17" t="s">
        <v>13</v>
      </c>
      <c r="D2" s="17" t="s">
        <v>14</v>
      </c>
      <c r="E2" s="18" t="s">
        <v>22</v>
      </c>
    </row>
    <row r="3" spans="1:13" ht="34">
      <c r="A3" s="19" t="s">
        <v>15</v>
      </c>
      <c r="B3" s="20">
        <v>0</v>
      </c>
      <c r="C3" s="33" t="s">
        <v>91</v>
      </c>
      <c r="D3" s="20" t="s">
        <v>16</v>
      </c>
      <c r="E3" s="34" t="s">
        <v>105</v>
      </c>
    </row>
    <row r="5" spans="1:13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ht="68">
      <c r="A6" s="27" t="s">
        <v>36</v>
      </c>
      <c r="B6" s="28" t="s">
        <v>37</v>
      </c>
      <c r="C6" s="29" t="s">
        <v>38</v>
      </c>
      <c r="D6" s="8"/>
      <c r="E6" s="55" t="s">
        <v>81</v>
      </c>
      <c r="F6" s="75"/>
      <c r="G6" s="75"/>
      <c r="H6" s="75"/>
      <c r="I6" s="75"/>
      <c r="J6" s="75"/>
      <c r="K6" s="75"/>
      <c r="L6" s="76"/>
      <c r="M6" s="8"/>
    </row>
    <row r="7" spans="1:13" ht="34">
      <c r="A7" s="30" t="s">
        <v>39</v>
      </c>
      <c r="B7" s="9" t="s">
        <v>69</v>
      </c>
      <c r="C7" s="31" t="s">
        <v>46</v>
      </c>
      <c r="D7" s="8"/>
      <c r="E7" s="56" t="s">
        <v>0</v>
      </c>
      <c r="F7" s="7" t="s">
        <v>1</v>
      </c>
      <c r="G7" s="7" t="s">
        <v>2</v>
      </c>
      <c r="H7" s="7" t="s">
        <v>3</v>
      </c>
      <c r="I7" s="7" t="s">
        <v>4</v>
      </c>
      <c r="J7" s="7" t="s">
        <v>5</v>
      </c>
      <c r="K7" s="7" t="s">
        <v>6</v>
      </c>
      <c r="L7" s="57" t="s">
        <v>7</v>
      </c>
      <c r="M7" s="8"/>
    </row>
    <row r="8" spans="1:13" ht="17">
      <c r="A8" s="30" t="s">
        <v>73</v>
      </c>
      <c r="B8" s="9" t="s">
        <v>68</v>
      </c>
      <c r="C8" s="31" t="s">
        <v>47</v>
      </c>
      <c r="D8" s="8"/>
      <c r="E8" s="30" t="s">
        <v>8</v>
      </c>
      <c r="F8" s="9">
        <v>2.77</v>
      </c>
      <c r="G8" s="10">
        <v>9.16</v>
      </c>
      <c r="H8" s="10">
        <v>237</v>
      </c>
      <c r="I8" s="10">
        <v>40</v>
      </c>
      <c r="J8" s="10">
        <v>0.7</v>
      </c>
      <c r="K8" s="11">
        <v>210</v>
      </c>
      <c r="L8" s="51">
        <v>0</v>
      </c>
      <c r="M8" s="8"/>
    </row>
    <row r="9" spans="1:13" ht="34">
      <c r="A9" s="30" t="s">
        <v>71</v>
      </c>
      <c r="B9" s="9" t="s">
        <v>70</v>
      </c>
      <c r="C9" s="31" t="s">
        <v>72</v>
      </c>
      <c r="D9" s="8"/>
      <c r="E9" s="30" t="s">
        <v>9</v>
      </c>
      <c r="F9" s="9">
        <v>10</v>
      </c>
      <c r="G9" s="9">
        <v>9.16</v>
      </c>
      <c r="H9" s="9">
        <v>136</v>
      </c>
      <c r="I9" s="9">
        <v>50</v>
      </c>
      <c r="J9" s="9">
        <v>0.7</v>
      </c>
      <c r="K9" s="9">
        <v>410</v>
      </c>
      <c r="L9" s="31">
        <v>410</v>
      </c>
      <c r="M9" s="8"/>
    </row>
    <row r="10" spans="1:13" ht="17">
      <c r="A10" s="30" t="s">
        <v>40</v>
      </c>
      <c r="B10" s="9" t="s">
        <v>68</v>
      </c>
      <c r="C10" s="31" t="s">
        <v>49</v>
      </c>
      <c r="D10" s="8"/>
      <c r="E10" s="32" t="s">
        <v>10</v>
      </c>
      <c r="F10" s="33">
        <v>1</v>
      </c>
      <c r="G10" s="52">
        <v>9.16</v>
      </c>
      <c r="H10" s="52">
        <v>228</v>
      </c>
      <c r="I10" s="52">
        <v>145</v>
      </c>
      <c r="J10" s="52">
        <v>0.7</v>
      </c>
      <c r="K10" s="53">
        <v>500</v>
      </c>
      <c r="L10" s="54">
        <v>500</v>
      </c>
      <c r="M10" s="8"/>
    </row>
    <row r="11" spans="1:13" ht="34">
      <c r="A11" s="30" t="s">
        <v>41</v>
      </c>
      <c r="B11" s="9" t="s">
        <v>70</v>
      </c>
      <c r="C11" s="31" t="s">
        <v>49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17">
      <c r="A12" s="37" t="s">
        <v>59</v>
      </c>
      <c r="B12" s="38" t="s">
        <v>60</v>
      </c>
      <c r="C12" s="39" t="s">
        <v>61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17">
      <c r="A13" s="37" t="s">
        <v>62</v>
      </c>
      <c r="B13" s="38" t="s">
        <v>60</v>
      </c>
      <c r="C13" s="39" t="s">
        <v>63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ht="17">
      <c r="A14" s="37" t="s">
        <v>64</v>
      </c>
      <c r="B14" s="38" t="s">
        <v>60</v>
      </c>
      <c r="C14" s="39" t="s">
        <v>65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ht="17">
      <c r="A15" s="37" t="s">
        <v>66</v>
      </c>
      <c r="B15" s="38" t="s">
        <v>60</v>
      </c>
      <c r="C15" s="39" t="s">
        <v>67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ht="17">
      <c r="A16" s="37" t="s">
        <v>92</v>
      </c>
      <c r="B16" s="38" t="s">
        <v>93</v>
      </c>
      <c r="C16" s="39" t="s">
        <v>94</v>
      </c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ht="34">
      <c r="A17" s="37" t="s">
        <v>115</v>
      </c>
      <c r="B17" s="38" t="s">
        <v>117</v>
      </c>
      <c r="C17" s="39" t="s">
        <v>118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ht="34">
      <c r="A18" s="37" t="s">
        <v>116</v>
      </c>
      <c r="B18" s="38" t="s">
        <v>52</v>
      </c>
      <c r="C18" s="39" t="s">
        <v>76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ht="17">
      <c r="A19" s="43" t="s">
        <v>75</v>
      </c>
      <c r="B19" s="44" t="s">
        <v>52</v>
      </c>
      <c r="C19" s="45" t="s">
        <v>76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ht="17">
      <c r="A22" s="27" t="s">
        <v>26</v>
      </c>
      <c r="B22" s="75"/>
      <c r="C22" s="75"/>
      <c r="D22" s="75"/>
      <c r="E22" s="75"/>
      <c r="F22" s="75"/>
      <c r="G22" s="75"/>
      <c r="H22" s="75"/>
      <c r="I22" s="76"/>
      <c r="J22" s="8"/>
      <c r="K22" s="8"/>
      <c r="L22" s="8"/>
      <c r="M22" s="8"/>
    </row>
    <row r="23" spans="1:13" ht="17">
      <c r="A23" s="30" t="s">
        <v>27</v>
      </c>
      <c r="B23" s="9" t="s">
        <v>0</v>
      </c>
      <c r="C23" s="9" t="s">
        <v>28</v>
      </c>
      <c r="D23" s="9" t="s">
        <v>101</v>
      </c>
      <c r="E23" s="9" t="s">
        <v>100</v>
      </c>
      <c r="F23" s="4" t="s">
        <v>98</v>
      </c>
      <c r="G23" s="4" t="s">
        <v>99</v>
      </c>
      <c r="H23" s="9" t="s">
        <v>102</v>
      </c>
      <c r="I23" s="31" t="s">
        <v>34</v>
      </c>
      <c r="J23" s="8"/>
      <c r="K23" s="8"/>
      <c r="L23" s="8"/>
      <c r="M23" s="8"/>
    </row>
    <row r="24" spans="1:13" ht="17">
      <c r="A24" s="32" t="s">
        <v>35</v>
      </c>
      <c r="B24" s="33" t="s">
        <v>35</v>
      </c>
      <c r="C24" s="33" t="s">
        <v>35</v>
      </c>
      <c r="D24" s="33" t="s">
        <v>35</v>
      </c>
      <c r="E24" s="33" t="s">
        <v>35</v>
      </c>
      <c r="F24" s="33" t="s">
        <v>35</v>
      </c>
      <c r="G24" s="33" t="s">
        <v>35</v>
      </c>
      <c r="H24" s="33" t="s">
        <v>35</v>
      </c>
      <c r="I24" s="34" t="s">
        <v>35</v>
      </c>
      <c r="J24" s="8"/>
      <c r="K24" s="8"/>
      <c r="L24" s="8"/>
      <c r="M24" s="8"/>
    </row>
    <row r="25" spans="1:13">
      <c r="A25" s="8"/>
      <c r="B25" s="8"/>
      <c r="C25" s="8"/>
      <c r="D25" s="8"/>
      <c r="E25" s="8"/>
      <c r="F25" s="8"/>
      <c r="G25" s="8"/>
      <c r="H25" s="8"/>
      <c r="I25" s="26">
        <v>0</v>
      </c>
      <c r="J25" s="8"/>
      <c r="K25" s="8"/>
      <c r="L25" s="8"/>
      <c r="M25" s="8"/>
    </row>
    <row r="26" spans="1:1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ht="17">
      <c r="A27" s="27" t="s">
        <v>57</v>
      </c>
      <c r="B27" s="75"/>
      <c r="C27" s="75"/>
      <c r="D27" s="75"/>
      <c r="E27" s="75"/>
      <c r="F27" s="75"/>
      <c r="G27" s="75"/>
      <c r="H27" s="75"/>
      <c r="I27" s="76"/>
      <c r="J27" s="8"/>
      <c r="K27" s="8"/>
      <c r="L27" s="8"/>
      <c r="M27" s="8"/>
    </row>
    <row r="28" spans="1:13" ht="17">
      <c r="A28" s="30" t="s">
        <v>27</v>
      </c>
      <c r="B28" s="9" t="s">
        <v>58</v>
      </c>
      <c r="C28" s="9" t="s">
        <v>28</v>
      </c>
      <c r="D28" s="9" t="s">
        <v>101</v>
      </c>
      <c r="E28" s="9" t="s">
        <v>100</v>
      </c>
      <c r="F28" s="4" t="s">
        <v>98</v>
      </c>
      <c r="G28" s="4" t="s">
        <v>99</v>
      </c>
      <c r="H28" s="9" t="s">
        <v>33</v>
      </c>
      <c r="I28" s="31" t="s">
        <v>34</v>
      </c>
      <c r="J28" s="8"/>
      <c r="K28" s="8"/>
      <c r="L28" s="8"/>
      <c r="M28" s="8"/>
    </row>
    <row r="29" spans="1:13" ht="17">
      <c r="A29" s="30" t="s">
        <v>52</v>
      </c>
      <c r="B29" s="9" t="s">
        <v>50</v>
      </c>
      <c r="C29" s="77" t="s">
        <v>51</v>
      </c>
      <c r="D29" s="77">
        <v>399.16</v>
      </c>
      <c r="E29" s="77" t="s">
        <v>35</v>
      </c>
      <c r="F29" s="77" t="s">
        <v>35</v>
      </c>
      <c r="G29" s="77" t="s">
        <v>35</v>
      </c>
      <c r="H29" s="77" t="s">
        <v>35</v>
      </c>
      <c r="I29" s="78">
        <f>399.16</f>
        <v>399.16</v>
      </c>
      <c r="J29" s="8"/>
      <c r="K29" s="8"/>
      <c r="L29" s="8"/>
      <c r="M29" s="8"/>
    </row>
    <row r="30" spans="1:13" ht="17">
      <c r="A30" s="30" t="s">
        <v>52</v>
      </c>
      <c r="B30" s="9" t="s">
        <v>50</v>
      </c>
      <c r="C30" s="9" t="s">
        <v>53</v>
      </c>
      <c r="D30" s="77" t="s">
        <v>35</v>
      </c>
      <c r="E30" s="77" t="s">
        <v>35</v>
      </c>
      <c r="F30" s="77" t="s">
        <v>35</v>
      </c>
      <c r="G30" s="77" t="s">
        <v>35</v>
      </c>
      <c r="H30" s="77" t="s">
        <v>35</v>
      </c>
      <c r="I30" s="31" t="s">
        <v>35</v>
      </c>
      <c r="J30" s="8"/>
      <c r="K30" s="8"/>
      <c r="L30" s="8"/>
      <c r="M30" s="8"/>
    </row>
    <row r="31" spans="1:13" ht="34">
      <c r="A31" s="30" t="s">
        <v>45</v>
      </c>
      <c r="B31" s="77" t="s">
        <v>54</v>
      </c>
      <c r="C31" s="77" t="s">
        <v>108</v>
      </c>
      <c r="D31" s="77">
        <f>6*470*0.617</f>
        <v>1739.94</v>
      </c>
      <c r="E31" s="77">
        <f>D31*1.33*0.001</f>
        <v>2.3141202000000005</v>
      </c>
      <c r="F31" s="77" t="s">
        <v>35</v>
      </c>
      <c r="G31" s="77" t="s">
        <v>35</v>
      </c>
      <c r="H31" s="77">
        <v>1.5</v>
      </c>
      <c r="I31" s="78">
        <f>(D31)+(E31*9.16)+(H31*210*0.7)</f>
        <v>1981.637341032</v>
      </c>
      <c r="J31" s="8"/>
      <c r="K31" s="8"/>
      <c r="L31" s="8"/>
      <c r="M31" s="8"/>
    </row>
    <row r="32" spans="1:13" ht="17">
      <c r="A32" s="30" t="s">
        <v>45</v>
      </c>
      <c r="B32" s="77" t="s">
        <v>54</v>
      </c>
      <c r="C32" s="77" t="s">
        <v>55</v>
      </c>
      <c r="D32" s="77">
        <f>D31*1.165</f>
        <v>2027.0301000000002</v>
      </c>
      <c r="E32" s="77">
        <f>E31*1.165</f>
        <v>2.6959500330000008</v>
      </c>
      <c r="F32" s="77" t="s">
        <v>35</v>
      </c>
      <c r="G32" s="77" t="s">
        <v>35</v>
      </c>
      <c r="H32" s="77" t="s">
        <v>35</v>
      </c>
      <c r="I32" s="78">
        <f>D32+(E32*9.16)</f>
        <v>2051.7250023022802</v>
      </c>
      <c r="J32" s="8"/>
      <c r="K32" s="8"/>
      <c r="L32" s="8"/>
      <c r="M32" s="8"/>
    </row>
    <row r="33" spans="1:20" ht="17">
      <c r="A33" s="30" t="s">
        <v>45</v>
      </c>
      <c r="B33" s="77" t="s">
        <v>54</v>
      </c>
      <c r="C33" s="77" t="s">
        <v>97</v>
      </c>
      <c r="D33" s="77">
        <f>321*3</f>
        <v>963</v>
      </c>
      <c r="E33" s="77">
        <v>6</v>
      </c>
      <c r="F33" s="77">
        <f>0.205*3</f>
        <v>0.61499999999999999</v>
      </c>
      <c r="G33" s="77">
        <f>0.228*3</f>
        <v>0.68400000000000005</v>
      </c>
      <c r="H33" s="77">
        <v>0</v>
      </c>
      <c r="I33" s="78">
        <f>D33+(E33*9.16)+(F33*136)+(G33*50)</f>
        <v>1135.8000000000002</v>
      </c>
      <c r="J33" s="8"/>
      <c r="K33" s="8"/>
      <c r="L33" s="8"/>
      <c r="M33" s="8"/>
    </row>
    <row r="34" spans="1:20" ht="17">
      <c r="A34" s="32" t="s">
        <v>52</v>
      </c>
      <c r="B34" s="79" t="s">
        <v>54</v>
      </c>
      <c r="C34" s="79" t="s">
        <v>56</v>
      </c>
      <c r="D34" s="79">
        <v>36.6</v>
      </c>
      <c r="E34" s="79">
        <v>0.09</v>
      </c>
      <c r="F34" s="79">
        <v>1E-3</v>
      </c>
      <c r="G34" s="79">
        <v>1E-3</v>
      </c>
      <c r="H34" s="79">
        <v>0</v>
      </c>
      <c r="I34" s="80">
        <f>D34+(E34*9.16)+(F34*136)+(G34*50)</f>
        <v>37.610399999999998</v>
      </c>
      <c r="J34" s="8"/>
      <c r="K34" s="8"/>
      <c r="L34" s="8"/>
      <c r="M34" s="8"/>
    </row>
    <row r="35" spans="1:20">
      <c r="A35" s="8"/>
      <c r="B35" s="81"/>
      <c r="C35" s="81"/>
      <c r="D35" s="81"/>
      <c r="E35" s="81"/>
      <c r="F35" s="81"/>
      <c r="G35" s="81"/>
      <c r="H35" s="81"/>
      <c r="I35" s="26">
        <f>SUM(I29:I34)</f>
        <v>5605.9327433342796</v>
      </c>
      <c r="J35" s="9"/>
      <c r="K35" s="9"/>
      <c r="L35" s="9"/>
      <c r="M35" s="8"/>
    </row>
    <row r="38" spans="1:20">
      <c r="A38" s="3" t="s">
        <v>79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3" t="s">
        <v>80</v>
      </c>
      <c r="M38" s="4"/>
      <c r="N38" s="4"/>
      <c r="O38" s="4"/>
      <c r="P38" s="4"/>
      <c r="Q38" s="4"/>
      <c r="R38" s="4"/>
      <c r="S38" s="4"/>
      <c r="T38" s="4"/>
    </row>
    <row r="39" spans="1:20">
      <c r="A39" s="16" t="s">
        <v>82</v>
      </c>
      <c r="B39" s="22"/>
      <c r="C39" s="22"/>
      <c r="D39" s="22"/>
      <c r="E39" s="22"/>
      <c r="F39" s="22"/>
      <c r="G39" s="22"/>
      <c r="H39" s="22"/>
      <c r="I39" s="23"/>
      <c r="J39" s="4"/>
      <c r="K39" s="4"/>
      <c r="L39" s="16" t="s">
        <v>82</v>
      </c>
      <c r="M39" s="22"/>
      <c r="N39" s="22"/>
      <c r="O39" s="22"/>
      <c r="P39" s="22"/>
      <c r="Q39" s="22"/>
      <c r="R39" s="22"/>
      <c r="S39" s="22"/>
      <c r="T39" s="23"/>
    </row>
    <row r="40" spans="1:20" ht="17">
      <c r="A40" s="24" t="s">
        <v>27</v>
      </c>
      <c r="B40" s="4" t="s">
        <v>58</v>
      </c>
      <c r="C40" s="4" t="s">
        <v>28</v>
      </c>
      <c r="D40" s="9" t="s">
        <v>101</v>
      </c>
      <c r="E40" s="9" t="s">
        <v>100</v>
      </c>
      <c r="F40" s="4" t="s">
        <v>98</v>
      </c>
      <c r="G40" s="4" t="s">
        <v>99</v>
      </c>
      <c r="H40" s="4" t="s">
        <v>33</v>
      </c>
      <c r="I40" s="25" t="s">
        <v>34</v>
      </c>
      <c r="J40" s="4"/>
      <c r="K40" s="4"/>
      <c r="L40" s="24" t="s">
        <v>27</v>
      </c>
      <c r="M40" s="4" t="s">
        <v>58</v>
      </c>
      <c r="N40" s="4" t="s">
        <v>28</v>
      </c>
      <c r="O40" s="4" t="s">
        <v>29</v>
      </c>
      <c r="P40" s="4" t="s">
        <v>30</v>
      </c>
      <c r="Q40" s="4" t="s">
        <v>31</v>
      </c>
      <c r="R40" s="4" t="s">
        <v>32</v>
      </c>
      <c r="S40" s="4" t="s">
        <v>33</v>
      </c>
      <c r="T40" s="25" t="s">
        <v>34</v>
      </c>
    </row>
    <row r="41" spans="1:20" ht="17">
      <c r="A41" s="24" t="s">
        <v>52</v>
      </c>
      <c r="B41" s="4" t="s">
        <v>50</v>
      </c>
      <c r="C41" s="35" t="s">
        <v>51</v>
      </c>
      <c r="D41" s="77">
        <v>399.16</v>
      </c>
      <c r="E41" s="77" t="s">
        <v>35</v>
      </c>
      <c r="F41" s="77">
        <v>0.221</v>
      </c>
      <c r="G41" s="77">
        <v>0.221</v>
      </c>
      <c r="H41" s="77">
        <v>0</v>
      </c>
      <c r="I41" s="78">
        <f>(F41*228)+(G41*145)</f>
        <v>82.432999999999993</v>
      </c>
      <c r="J41" s="4"/>
      <c r="K41" s="4"/>
      <c r="L41" s="24" t="s">
        <v>52</v>
      </c>
      <c r="M41" s="4" t="s">
        <v>50</v>
      </c>
      <c r="N41" s="35" t="s">
        <v>51</v>
      </c>
      <c r="O41" s="77">
        <v>399.16</v>
      </c>
      <c r="P41" s="77" t="s">
        <v>35</v>
      </c>
      <c r="Q41" s="77">
        <v>0.221</v>
      </c>
      <c r="R41" s="77">
        <v>0.221</v>
      </c>
      <c r="S41" s="77">
        <v>0</v>
      </c>
      <c r="T41" s="78">
        <f>O41+(Q41*228)+(R41*145)</f>
        <v>481.59300000000002</v>
      </c>
    </row>
    <row r="42" spans="1:20">
      <c r="A42" s="24" t="s">
        <v>52</v>
      </c>
      <c r="B42" s="4" t="s">
        <v>50</v>
      </c>
      <c r="C42" s="4" t="s">
        <v>53</v>
      </c>
      <c r="D42" s="35">
        <v>1665.9</v>
      </c>
      <c r="E42" s="35">
        <v>12.8</v>
      </c>
      <c r="F42" s="35" t="s">
        <v>35</v>
      </c>
      <c r="G42" s="35" t="s">
        <v>35</v>
      </c>
      <c r="H42" s="35">
        <v>0</v>
      </c>
      <c r="I42" s="25">
        <f>D42+(E42*9.16)</f>
        <v>1783.1480000000001</v>
      </c>
      <c r="J42" s="4"/>
      <c r="K42" s="4"/>
      <c r="L42" s="24" t="s">
        <v>52</v>
      </c>
      <c r="M42" s="4" t="s">
        <v>50</v>
      </c>
      <c r="N42" s="4" t="s">
        <v>53</v>
      </c>
      <c r="O42" s="35">
        <v>1665.9</v>
      </c>
      <c r="P42" s="35">
        <v>12.8</v>
      </c>
      <c r="Q42" s="35" t="s">
        <v>35</v>
      </c>
      <c r="R42" s="35" t="s">
        <v>35</v>
      </c>
      <c r="S42" s="35">
        <v>0</v>
      </c>
      <c r="T42" s="25">
        <f>O42+(P42*9.16)</f>
        <v>1783.1480000000001</v>
      </c>
    </row>
    <row r="43" spans="1:20">
      <c r="A43" s="24" t="s">
        <v>45</v>
      </c>
      <c r="B43" s="35" t="s">
        <v>54</v>
      </c>
      <c r="C43" s="35" t="s">
        <v>96</v>
      </c>
      <c r="D43" s="35">
        <f>260*6*0.617</f>
        <v>962.52</v>
      </c>
      <c r="E43" s="35">
        <f>D43*1.33*0.001</f>
        <v>1.2801516000000002</v>
      </c>
      <c r="F43" s="35" t="s">
        <v>35</v>
      </c>
      <c r="G43" s="35" t="s">
        <v>35</v>
      </c>
      <c r="H43" s="35">
        <v>1.5</v>
      </c>
      <c r="I43" s="36">
        <f>(E43*9.16)+(H43*210*0.7)</f>
        <v>232.22618865600001</v>
      </c>
      <c r="J43" s="4"/>
      <c r="K43" s="4"/>
      <c r="L43" s="24" t="s">
        <v>45</v>
      </c>
      <c r="M43" s="35" t="s">
        <v>54</v>
      </c>
      <c r="N43" s="35" t="s">
        <v>96</v>
      </c>
      <c r="O43" s="35">
        <f>260*6*0.617</f>
        <v>962.52</v>
      </c>
      <c r="P43" s="35">
        <f>O43*1.33*0.001</f>
        <v>1.2801516000000002</v>
      </c>
      <c r="Q43" s="35" t="s">
        <v>35</v>
      </c>
      <c r="R43" s="35" t="s">
        <v>35</v>
      </c>
      <c r="S43" s="35">
        <v>1.5</v>
      </c>
      <c r="T43" s="36">
        <f>(O43)+(P43*9.16)+(S43*210*0.7)</f>
        <v>1194.746188656</v>
      </c>
    </row>
    <row r="44" spans="1:20">
      <c r="A44" s="24" t="s">
        <v>45</v>
      </c>
      <c r="B44" s="35" t="s">
        <v>54</v>
      </c>
      <c r="C44" s="35" t="s">
        <v>55</v>
      </c>
      <c r="D44" s="35">
        <f>D43*1.165</f>
        <v>1121.3358000000001</v>
      </c>
      <c r="E44" s="35">
        <f>E43*1.165</f>
        <v>1.4913766140000002</v>
      </c>
      <c r="F44" s="35" t="s">
        <v>35</v>
      </c>
      <c r="G44" s="35" t="s">
        <v>35</v>
      </c>
      <c r="H44" s="35">
        <v>0</v>
      </c>
      <c r="I44" s="36">
        <f>(E44*9.16)</f>
        <v>13.661009784240003</v>
      </c>
      <c r="J44" s="4"/>
      <c r="K44" s="4"/>
      <c r="L44" s="24" t="s">
        <v>45</v>
      </c>
      <c r="M44" s="35" t="s">
        <v>54</v>
      </c>
      <c r="N44" s="35" t="s">
        <v>55</v>
      </c>
      <c r="O44" s="35">
        <f>O43*1.165</f>
        <v>1121.3358000000001</v>
      </c>
      <c r="P44" s="35">
        <f>P43*1.165</f>
        <v>1.4913766140000002</v>
      </c>
      <c r="Q44" s="35" t="s">
        <v>35</v>
      </c>
      <c r="R44" s="35" t="s">
        <v>35</v>
      </c>
      <c r="S44" s="35">
        <v>0</v>
      </c>
      <c r="T44" s="36">
        <f>O44+(P44*9.16)</f>
        <v>1134.99680978424</v>
      </c>
    </row>
    <row r="45" spans="1:20" ht="17">
      <c r="A45" s="24" t="s">
        <v>45</v>
      </c>
      <c r="B45" s="35" t="s">
        <v>54</v>
      </c>
      <c r="C45" s="77" t="s">
        <v>97</v>
      </c>
      <c r="D45" s="77">
        <f>321*3</f>
        <v>963</v>
      </c>
      <c r="E45" s="77">
        <v>6</v>
      </c>
      <c r="F45" s="77">
        <f>0.205*3</f>
        <v>0.61499999999999999</v>
      </c>
      <c r="G45" s="77">
        <f>0.228*3</f>
        <v>0.68400000000000005</v>
      </c>
      <c r="H45" s="77">
        <v>0</v>
      </c>
      <c r="I45" s="78">
        <f>(E45*9.16)+(F45*136)+(G45*50)</f>
        <v>172.8</v>
      </c>
      <c r="J45" s="4"/>
      <c r="K45" s="4"/>
      <c r="L45" s="24" t="s">
        <v>45</v>
      </c>
      <c r="M45" s="35" t="s">
        <v>54</v>
      </c>
      <c r="N45" s="35" t="s">
        <v>78</v>
      </c>
      <c r="O45" s="77">
        <f>321*3</f>
        <v>963</v>
      </c>
      <c r="P45" s="77">
        <v>6</v>
      </c>
      <c r="Q45" s="77">
        <f>0.205*3</f>
        <v>0.61499999999999999</v>
      </c>
      <c r="R45" s="77">
        <f>0.228*3</f>
        <v>0.68400000000000005</v>
      </c>
      <c r="S45" s="77">
        <v>0</v>
      </c>
      <c r="T45" s="36">
        <f>O45+(P45*9.16)+(Q45*228)+(R45*145)</f>
        <v>1257.3600000000001</v>
      </c>
    </row>
    <row r="46" spans="1:20">
      <c r="A46" s="19" t="s">
        <v>52</v>
      </c>
      <c r="B46" s="46" t="s">
        <v>54</v>
      </c>
      <c r="C46" s="46" t="s">
        <v>56</v>
      </c>
      <c r="D46" s="46">
        <v>36.6</v>
      </c>
      <c r="E46" s="46">
        <v>0.09</v>
      </c>
      <c r="F46" s="46">
        <v>1E-3</v>
      </c>
      <c r="G46" s="46">
        <v>1E-3</v>
      </c>
      <c r="H46" s="46">
        <v>0</v>
      </c>
      <c r="I46" s="47">
        <f>(E46*9.16)+(F46*228)+(G46*145)</f>
        <v>1.1974</v>
      </c>
      <c r="J46" s="4"/>
      <c r="K46" s="4"/>
      <c r="L46" s="19" t="s">
        <v>52</v>
      </c>
      <c r="M46" s="46" t="s">
        <v>54</v>
      </c>
      <c r="N46" s="46" t="s">
        <v>56</v>
      </c>
      <c r="O46" s="46">
        <v>36.6</v>
      </c>
      <c r="P46" s="46">
        <v>0.09</v>
      </c>
      <c r="Q46" s="46">
        <v>1E-3</v>
      </c>
      <c r="R46" s="46">
        <v>1E-3</v>
      </c>
      <c r="S46" s="46">
        <v>0</v>
      </c>
      <c r="T46" s="47">
        <f>O46+(P46*9.16)+(Q46*228)+(R46*145)</f>
        <v>37.797400000000003</v>
      </c>
    </row>
    <row r="47" spans="1:20">
      <c r="A47" s="3"/>
      <c r="B47" s="48"/>
      <c r="C47" s="48"/>
      <c r="D47" s="48"/>
      <c r="E47" s="48"/>
      <c r="F47" s="48"/>
      <c r="G47" s="48"/>
      <c r="H47" s="48"/>
      <c r="I47" s="14">
        <f>SUM(I41:I46)</f>
        <v>2285.4655984402402</v>
      </c>
      <c r="J47" s="4"/>
      <c r="K47" s="4"/>
      <c r="L47" s="3"/>
      <c r="M47" s="48"/>
      <c r="N47" s="48"/>
      <c r="O47" s="48"/>
      <c r="P47" s="48"/>
      <c r="Q47" s="48"/>
      <c r="R47" s="48"/>
      <c r="S47" s="48"/>
      <c r="T47" s="14">
        <f>SUM(T41:T46)</f>
        <v>5889.6413984402398</v>
      </c>
    </row>
    <row r="49" spans="1:20">
      <c r="A49" s="58" t="s">
        <v>79</v>
      </c>
      <c r="B49" s="35"/>
      <c r="C49" s="41"/>
      <c r="D49" s="41"/>
      <c r="E49" s="41"/>
      <c r="F49" s="41"/>
      <c r="G49" s="41"/>
      <c r="H49" s="41"/>
      <c r="I49" s="41"/>
      <c r="J49" s="41"/>
      <c r="K49" s="41"/>
      <c r="L49" s="58" t="s">
        <v>80</v>
      </c>
      <c r="M49" s="41"/>
      <c r="N49" s="41"/>
      <c r="O49" s="41"/>
      <c r="P49" s="41"/>
      <c r="Q49" s="41"/>
      <c r="R49" s="41"/>
      <c r="S49" s="41"/>
      <c r="T49" s="41"/>
    </row>
    <row r="50" spans="1:20">
      <c r="A50" s="16" t="s">
        <v>83</v>
      </c>
      <c r="B50" s="22"/>
      <c r="C50" s="22"/>
      <c r="D50" s="22"/>
      <c r="E50" s="22"/>
      <c r="F50" s="22"/>
      <c r="G50" s="22"/>
      <c r="H50" s="22"/>
      <c r="I50" s="23"/>
      <c r="L50" s="16" t="s">
        <v>83</v>
      </c>
      <c r="M50" s="22"/>
      <c r="N50" s="22"/>
      <c r="O50" s="22"/>
      <c r="P50" s="22"/>
      <c r="Q50" s="22"/>
      <c r="R50" s="22"/>
      <c r="S50" s="22"/>
      <c r="T50" s="23"/>
    </row>
    <row r="51" spans="1:20">
      <c r="A51" s="24" t="s">
        <v>27</v>
      </c>
      <c r="B51" s="4" t="s">
        <v>58</v>
      </c>
      <c r="C51" s="4" t="s">
        <v>28</v>
      </c>
      <c r="D51" s="4" t="s">
        <v>29</v>
      </c>
      <c r="E51" s="4" t="s">
        <v>30</v>
      </c>
      <c r="F51" s="4" t="s">
        <v>31</v>
      </c>
      <c r="G51" s="4" t="s">
        <v>32</v>
      </c>
      <c r="H51" s="4" t="s">
        <v>33</v>
      </c>
      <c r="I51" s="25" t="s">
        <v>34</v>
      </c>
      <c r="L51" s="24" t="s">
        <v>27</v>
      </c>
      <c r="M51" s="4" t="s">
        <v>58</v>
      </c>
      <c r="N51" s="4" t="s">
        <v>28</v>
      </c>
      <c r="O51" s="4" t="s">
        <v>29</v>
      </c>
      <c r="P51" s="4" t="s">
        <v>30</v>
      </c>
      <c r="Q51" s="4" t="s">
        <v>31</v>
      </c>
      <c r="R51" s="4" t="s">
        <v>32</v>
      </c>
      <c r="S51" s="4" t="s">
        <v>33</v>
      </c>
      <c r="T51" s="25" t="s">
        <v>34</v>
      </c>
    </row>
    <row r="52" spans="1:20">
      <c r="A52" s="24" t="s">
        <v>52</v>
      </c>
      <c r="B52" s="4" t="s">
        <v>50</v>
      </c>
      <c r="C52" s="35" t="s">
        <v>51</v>
      </c>
      <c r="D52" s="35" t="s">
        <v>35</v>
      </c>
      <c r="E52" s="35" t="s">
        <v>35</v>
      </c>
      <c r="F52" s="35" t="s">
        <v>35</v>
      </c>
      <c r="G52" s="35" t="s">
        <v>35</v>
      </c>
      <c r="H52" s="35" t="s">
        <v>35</v>
      </c>
      <c r="I52" s="36" t="s">
        <v>35</v>
      </c>
      <c r="L52" s="24" t="s">
        <v>52</v>
      </c>
      <c r="M52" s="4" t="s">
        <v>50</v>
      </c>
      <c r="N52" s="35" t="s">
        <v>51</v>
      </c>
      <c r="O52" s="35" t="s">
        <v>35</v>
      </c>
      <c r="P52" s="35" t="s">
        <v>35</v>
      </c>
      <c r="Q52" s="35" t="s">
        <v>35</v>
      </c>
      <c r="R52" s="35" t="s">
        <v>35</v>
      </c>
      <c r="S52" s="35" t="s">
        <v>35</v>
      </c>
      <c r="T52" s="36" t="s">
        <v>35</v>
      </c>
    </row>
    <row r="53" spans="1:20">
      <c r="A53" s="24" t="s">
        <v>52</v>
      </c>
      <c r="B53" s="4" t="s">
        <v>50</v>
      </c>
      <c r="C53" s="4" t="s">
        <v>53</v>
      </c>
      <c r="D53" s="35" t="s">
        <v>35</v>
      </c>
      <c r="E53" s="35" t="s">
        <v>35</v>
      </c>
      <c r="F53" s="35" t="s">
        <v>35</v>
      </c>
      <c r="G53" s="35" t="s">
        <v>35</v>
      </c>
      <c r="H53" s="35" t="s">
        <v>35</v>
      </c>
      <c r="I53" s="25" t="s">
        <v>35</v>
      </c>
      <c r="L53" s="24" t="s">
        <v>52</v>
      </c>
      <c r="M53" s="4" t="s">
        <v>50</v>
      </c>
      <c r="N53" s="4" t="s">
        <v>53</v>
      </c>
      <c r="O53" s="35" t="s">
        <v>35</v>
      </c>
      <c r="P53" s="35" t="s">
        <v>35</v>
      </c>
      <c r="Q53" s="35" t="s">
        <v>35</v>
      </c>
      <c r="R53" s="35" t="s">
        <v>35</v>
      </c>
      <c r="S53" s="35" t="s">
        <v>35</v>
      </c>
      <c r="T53" s="25" t="s">
        <v>35</v>
      </c>
    </row>
    <row r="54" spans="1:20">
      <c r="A54" s="24" t="s">
        <v>45</v>
      </c>
      <c r="B54" s="35" t="s">
        <v>54</v>
      </c>
      <c r="C54" s="35" t="s">
        <v>103</v>
      </c>
      <c r="D54" s="35">
        <f>210*6*0.617</f>
        <v>777.42</v>
      </c>
      <c r="E54" s="35">
        <f>D54*1.33*0.001</f>
        <v>1.0339685999999999</v>
      </c>
      <c r="F54" s="35" t="s">
        <v>35</v>
      </c>
      <c r="G54" s="35" t="s">
        <v>35</v>
      </c>
      <c r="H54" s="35">
        <v>1.5</v>
      </c>
      <c r="I54" s="36">
        <f>(D54)+(E54*9.16)+(H54*210*0.7)</f>
        <v>1007.3911523759999</v>
      </c>
      <c r="L54" s="24" t="s">
        <v>45</v>
      </c>
      <c r="M54" s="35" t="s">
        <v>54</v>
      </c>
      <c r="N54" s="35" t="s">
        <v>103</v>
      </c>
      <c r="O54" s="35">
        <f>210*6*0.617</f>
        <v>777.42</v>
      </c>
      <c r="P54" s="35">
        <f>O54*1.33*0.001</f>
        <v>1.0339685999999999</v>
      </c>
      <c r="Q54" s="35" t="s">
        <v>35</v>
      </c>
      <c r="R54" s="35" t="s">
        <v>35</v>
      </c>
      <c r="S54" s="35">
        <v>1.5</v>
      </c>
      <c r="T54" s="36">
        <f>(O54)+(P54*9.16)+(S54*210*0.7)</f>
        <v>1007.3911523759999</v>
      </c>
    </row>
    <row r="55" spans="1:20">
      <c r="A55" s="24" t="s">
        <v>45</v>
      </c>
      <c r="B55" s="35" t="s">
        <v>54</v>
      </c>
      <c r="C55" s="35" t="s">
        <v>55</v>
      </c>
      <c r="D55" s="35">
        <f>D54*1.165</f>
        <v>905.6943</v>
      </c>
      <c r="E55" s="35">
        <f>E54*1.165</f>
        <v>1.2045734189999999</v>
      </c>
      <c r="F55" s="35" t="s">
        <v>35</v>
      </c>
      <c r="G55" s="35" t="s">
        <v>35</v>
      </c>
      <c r="H55" s="35" t="s">
        <v>35</v>
      </c>
      <c r="I55" s="36">
        <f>D55+(E55*9.16)</f>
        <v>916.72819251804003</v>
      </c>
      <c r="L55" s="24" t="s">
        <v>45</v>
      </c>
      <c r="M55" s="35" t="s">
        <v>54</v>
      </c>
      <c r="N55" s="35" t="s">
        <v>55</v>
      </c>
      <c r="O55" s="35">
        <f>O54*1.165</f>
        <v>905.6943</v>
      </c>
      <c r="P55" s="35">
        <f>P54*1.165</f>
        <v>1.2045734189999999</v>
      </c>
      <c r="Q55" s="35" t="s">
        <v>35</v>
      </c>
      <c r="R55" s="35" t="s">
        <v>35</v>
      </c>
      <c r="S55" s="35" t="s">
        <v>35</v>
      </c>
      <c r="T55" s="36">
        <f>O55+(P55*9.16)</f>
        <v>916.72819251804003</v>
      </c>
    </row>
    <row r="56" spans="1:20">
      <c r="A56" s="24" t="s">
        <v>45</v>
      </c>
      <c r="B56" s="35" t="s">
        <v>54</v>
      </c>
      <c r="C56" s="35" t="s">
        <v>78</v>
      </c>
      <c r="D56" s="35">
        <f>321*5</f>
        <v>1605</v>
      </c>
      <c r="E56" s="35">
        <v>10</v>
      </c>
      <c r="F56" s="35">
        <f>0.205*5</f>
        <v>1.0249999999999999</v>
      </c>
      <c r="G56" s="35">
        <f>0.228*5</f>
        <v>1.1400000000000001</v>
      </c>
      <c r="H56" s="35">
        <v>0</v>
      </c>
      <c r="I56" s="36">
        <f>D56+(E56*9.16)+(F56*136)+(G56*50)</f>
        <v>1893</v>
      </c>
      <c r="L56" s="24" t="s">
        <v>45</v>
      </c>
      <c r="M56" s="35" t="s">
        <v>54</v>
      </c>
      <c r="N56" s="35" t="s">
        <v>78</v>
      </c>
      <c r="O56" s="35">
        <f>321*5</f>
        <v>1605</v>
      </c>
      <c r="P56" s="35">
        <v>10</v>
      </c>
      <c r="Q56" s="35">
        <f>0.205*5</f>
        <v>1.0249999999999999</v>
      </c>
      <c r="R56" s="35">
        <f>0.228*5</f>
        <v>1.1400000000000001</v>
      </c>
      <c r="S56" s="35">
        <v>0</v>
      </c>
      <c r="T56" s="36">
        <f>O56+(P56*9.16)+(Q56*136)+(R56*50)</f>
        <v>1893</v>
      </c>
    </row>
    <row r="57" spans="1:20">
      <c r="A57" s="19" t="s">
        <v>52</v>
      </c>
      <c r="B57" s="46" t="s">
        <v>54</v>
      </c>
      <c r="C57" s="46" t="s">
        <v>56</v>
      </c>
      <c r="D57" s="46">
        <v>36.6</v>
      </c>
      <c r="E57" s="46">
        <v>0.09</v>
      </c>
      <c r="F57" s="46">
        <v>1E-3</v>
      </c>
      <c r="G57" s="46">
        <v>1E-3</v>
      </c>
      <c r="H57" s="46">
        <v>0</v>
      </c>
      <c r="I57" s="47">
        <f>D57+(E57*9.16)+(F57*136)+(G57*50)</f>
        <v>37.610399999999998</v>
      </c>
      <c r="L57" s="19" t="s">
        <v>52</v>
      </c>
      <c r="M57" s="46" t="s">
        <v>54</v>
      </c>
      <c r="N57" s="46" t="s">
        <v>56</v>
      </c>
      <c r="O57" s="46">
        <v>36.6</v>
      </c>
      <c r="P57" s="46">
        <v>0.09</v>
      </c>
      <c r="Q57" s="46">
        <v>1E-3</v>
      </c>
      <c r="R57" s="46">
        <v>1E-3</v>
      </c>
      <c r="S57" s="46">
        <v>0</v>
      </c>
      <c r="T57" s="47">
        <f>O57+(P57*9.16)+(Q57*136)+(R57*50)</f>
        <v>37.610399999999998</v>
      </c>
    </row>
    <row r="58" spans="1:20">
      <c r="A58" s="3"/>
      <c r="B58" s="48"/>
      <c r="C58" s="48"/>
      <c r="D58" s="48"/>
      <c r="E58" s="48"/>
      <c r="F58" s="48"/>
      <c r="G58" s="48"/>
      <c r="H58" s="48"/>
      <c r="I58" s="14">
        <f>SUM(I54:I57)</f>
        <v>3854.7297448940399</v>
      </c>
      <c r="L58" s="3"/>
      <c r="M58" s="48"/>
      <c r="N58" s="48"/>
      <c r="O58" s="48"/>
      <c r="P58" s="48"/>
      <c r="Q58" s="48"/>
      <c r="R58" s="48"/>
      <c r="S58" s="48"/>
      <c r="T58" s="14">
        <f>SUM(T54:T57)</f>
        <v>3854.7297448940399</v>
      </c>
    </row>
    <row r="61" spans="1:20">
      <c r="A61" s="59" t="s">
        <v>84</v>
      </c>
      <c r="B61" s="60" t="s">
        <v>12</v>
      </c>
      <c r="C61" s="60" t="s">
        <v>85</v>
      </c>
      <c r="D61" s="60" t="s">
        <v>86</v>
      </c>
      <c r="E61" s="60" t="s">
        <v>22</v>
      </c>
      <c r="F61" s="61"/>
    </row>
    <row r="62" spans="1:20">
      <c r="A62" s="64"/>
      <c r="B62" s="62"/>
      <c r="C62" s="62"/>
      <c r="D62" s="62"/>
      <c r="E62" s="62"/>
      <c r="F62" s="65"/>
    </row>
    <row r="63" spans="1:20">
      <c r="A63" s="64" t="s">
        <v>79</v>
      </c>
      <c r="B63" s="62">
        <v>0</v>
      </c>
      <c r="C63" s="69">
        <f>I35</f>
        <v>5605.9327433342796</v>
      </c>
      <c r="D63" s="69">
        <f>I47</f>
        <v>2285.4655984402402</v>
      </c>
      <c r="E63" s="62">
        <f>I58</f>
        <v>3854.7297448940399</v>
      </c>
      <c r="F63" s="65"/>
    </row>
    <row r="64" spans="1:20">
      <c r="A64" s="66" t="s">
        <v>80</v>
      </c>
      <c r="B64" s="63">
        <v>0</v>
      </c>
      <c r="C64" s="85">
        <f>I35</f>
        <v>5605.9327433342796</v>
      </c>
      <c r="D64" s="63">
        <f>T47</f>
        <v>5889.6413984402398</v>
      </c>
      <c r="E64" s="63">
        <f>T58</f>
        <v>3854.7297448940399</v>
      </c>
      <c r="F64" s="67"/>
    </row>
    <row r="65" spans="1:6">
      <c r="A65" s="68"/>
      <c r="B65" s="69"/>
      <c r="C65" s="69"/>
      <c r="D65" s="69"/>
      <c r="E65" s="69"/>
      <c r="F65" s="68"/>
    </row>
    <row r="66" spans="1:6">
      <c r="A66" s="59" t="s">
        <v>87</v>
      </c>
      <c r="B66" s="60" t="s">
        <v>12</v>
      </c>
      <c r="C66" s="60" t="s">
        <v>85</v>
      </c>
      <c r="D66" s="60" t="s">
        <v>86</v>
      </c>
      <c r="E66" s="60" t="s">
        <v>22</v>
      </c>
      <c r="F66" s="61" t="s">
        <v>88</v>
      </c>
    </row>
    <row r="67" spans="1:6">
      <c r="A67" s="64"/>
      <c r="B67" s="62"/>
      <c r="C67" s="62"/>
      <c r="D67" s="62"/>
      <c r="E67" s="62"/>
      <c r="F67" s="65"/>
    </row>
    <row r="68" spans="1:6" ht="21">
      <c r="A68" s="64" t="s">
        <v>79</v>
      </c>
      <c r="B68" s="62">
        <v>0</v>
      </c>
      <c r="C68" s="62">
        <f>C63*10</f>
        <v>56059.327433342798</v>
      </c>
      <c r="D68" s="62">
        <f>D63</f>
        <v>2285.4655984402402</v>
      </c>
      <c r="E68" s="62">
        <f>E63*10</f>
        <v>38547.2974489404</v>
      </c>
      <c r="F68" s="70">
        <f>SUM(B68:E68)</f>
        <v>96892.090480723447</v>
      </c>
    </row>
    <row r="69" spans="1:6" ht="21">
      <c r="A69" s="66" t="s">
        <v>80</v>
      </c>
      <c r="B69" s="63">
        <v>0</v>
      </c>
      <c r="C69" s="63">
        <f>C64*10</f>
        <v>56059.327433342798</v>
      </c>
      <c r="D69" s="63">
        <f>D64</f>
        <v>5889.6413984402398</v>
      </c>
      <c r="E69" s="63">
        <f>E64*10</f>
        <v>38547.2974489404</v>
      </c>
      <c r="F69" s="71">
        <f>SUM(B69:E69)</f>
        <v>100496.26628072344</v>
      </c>
    </row>
  </sheetData>
  <pageMargins left="0.7" right="0.7" top="0.75" bottom="0.75" header="0.3" footer="0.3"/>
  <pageSetup orientation="portrait" horizontalDpi="0" verticalDpi="0"/>
  <ignoredErrors>
    <ignoredError sqref="T4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345F2-D588-264E-9D5B-D40E9D550754}">
  <dimension ref="A1:T69"/>
  <sheetViews>
    <sheetView workbookViewId="0">
      <selection activeCell="C3" sqref="C3"/>
    </sheetView>
  </sheetViews>
  <sheetFormatPr baseColWidth="10" defaultRowHeight="16"/>
  <cols>
    <col min="1" max="1" width="29.5" customWidth="1"/>
    <col min="2" max="2" width="18.1640625" customWidth="1"/>
    <col min="3" max="3" width="47.83203125" customWidth="1"/>
    <col min="4" max="4" width="19.5" customWidth="1"/>
    <col min="5" max="5" width="26" customWidth="1"/>
    <col min="6" max="6" width="14" customWidth="1"/>
    <col min="12" max="12" width="12.6640625" customWidth="1"/>
  </cols>
  <sheetData>
    <row r="1" spans="1:12">
      <c r="A1" s="3"/>
      <c r="B1" s="3"/>
      <c r="C1" s="3"/>
      <c r="D1" s="3"/>
      <c r="E1" s="3"/>
    </row>
    <row r="2" spans="1:12">
      <c r="A2" s="16" t="s">
        <v>48</v>
      </c>
      <c r="B2" s="17" t="s">
        <v>12</v>
      </c>
      <c r="C2" s="17" t="s">
        <v>42</v>
      </c>
      <c r="D2" s="17" t="s">
        <v>43</v>
      </c>
      <c r="E2" s="18" t="s">
        <v>44</v>
      </c>
    </row>
    <row r="3" spans="1:12">
      <c r="A3" s="19" t="s">
        <v>17</v>
      </c>
      <c r="B3" s="20">
        <v>0</v>
      </c>
      <c r="C3" s="20" t="s">
        <v>24</v>
      </c>
      <c r="D3" s="20" t="s">
        <v>18</v>
      </c>
      <c r="E3" s="21" t="s">
        <v>25</v>
      </c>
    </row>
    <row r="4" spans="1:12">
      <c r="A4" s="3"/>
      <c r="B4" s="3"/>
      <c r="C4" s="3"/>
      <c r="D4" s="3"/>
      <c r="E4" s="3"/>
    </row>
    <row r="6" spans="1:12" ht="34">
      <c r="A6" s="27" t="s">
        <v>36</v>
      </c>
      <c r="B6" s="28" t="s">
        <v>37</v>
      </c>
      <c r="C6" s="29" t="s">
        <v>38</v>
      </c>
      <c r="D6" s="8"/>
      <c r="E6" s="55" t="s">
        <v>81</v>
      </c>
      <c r="F6" s="49"/>
      <c r="G6" s="49"/>
      <c r="H6" s="49"/>
      <c r="I6" s="49"/>
      <c r="J6" s="49"/>
      <c r="K6" s="49"/>
      <c r="L6" s="50"/>
    </row>
    <row r="7" spans="1:12" ht="51">
      <c r="A7" s="30" t="s">
        <v>39</v>
      </c>
      <c r="B7" s="9" t="s">
        <v>69</v>
      </c>
      <c r="C7" s="31" t="s">
        <v>46</v>
      </c>
      <c r="D7" s="8"/>
      <c r="E7" s="56" t="s">
        <v>0</v>
      </c>
      <c r="F7" s="7" t="s">
        <v>1</v>
      </c>
      <c r="G7" s="7" t="s">
        <v>2</v>
      </c>
      <c r="H7" s="7" t="s">
        <v>3</v>
      </c>
      <c r="I7" s="7" t="s">
        <v>4</v>
      </c>
      <c r="J7" s="7" t="s">
        <v>5</v>
      </c>
      <c r="K7" s="7" t="s">
        <v>6</v>
      </c>
      <c r="L7" s="57" t="s">
        <v>7</v>
      </c>
    </row>
    <row r="8" spans="1:12" ht="34">
      <c r="A8" s="30" t="s">
        <v>73</v>
      </c>
      <c r="B8" s="9" t="s">
        <v>68</v>
      </c>
      <c r="C8" s="31" t="s">
        <v>47</v>
      </c>
      <c r="D8" s="8"/>
      <c r="E8" s="30" t="s">
        <v>8</v>
      </c>
      <c r="F8" s="9">
        <v>2.77</v>
      </c>
      <c r="G8" s="10">
        <v>9.16</v>
      </c>
      <c r="H8" s="10">
        <v>237</v>
      </c>
      <c r="I8" s="10">
        <v>40</v>
      </c>
      <c r="J8" s="10">
        <v>0.7</v>
      </c>
      <c r="K8" s="11">
        <v>210</v>
      </c>
      <c r="L8" s="51">
        <v>0</v>
      </c>
    </row>
    <row r="9" spans="1:12" ht="17">
      <c r="A9" s="40" t="s">
        <v>71</v>
      </c>
      <c r="B9" s="41" t="s">
        <v>70</v>
      </c>
      <c r="C9" s="42" t="s">
        <v>72</v>
      </c>
      <c r="D9" s="8"/>
      <c r="E9" s="30" t="s">
        <v>9</v>
      </c>
      <c r="F9" s="9">
        <v>10</v>
      </c>
      <c r="G9" s="9">
        <v>9.16</v>
      </c>
      <c r="H9" s="9">
        <v>136</v>
      </c>
      <c r="I9" s="9">
        <v>50</v>
      </c>
      <c r="J9" s="9">
        <v>0.7</v>
      </c>
      <c r="K9" s="9">
        <v>410</v>
      </c>
      <c r="L9" s="31">
        <v>410</v>
      </c>
    </row>
    <row r="10" spans="1:12" ht="34">
      <c r="A10" s="30" t="s">
        <v>40</v>
      </c>
      <c r="B10" s="9" t="s">
        <v>68</v>
      </c>
      <c r="C10" s="31" t="s">
        <v>49</v>
      </c>
      <c r="D10" s="8"/>
      <c r="E10" s="32" t="s">
        <v>10</v>
      </c>
      <c r="F10" s="33">
        <v>1</v>
      </c>
      <c r="G10" s="52">
        <v>9.16</v>
      </c>
      <c r="H10" s="52">
        <v>228</v>
      </c>
      <c r="I10" s="52">
        <v>145</v>
      </c>
      <c r="J10" s="52">
        <v>0.7</v>
      </c>
      <c r="K10" s="53">
        <v>500</v>
      </c>
      <c r="L10" s="54">
        <v>500</v>
      </c>
    </row>
    <row r="11" spans="1:12" ht="34">
      <c r="A11" s="30" t="s">
        <v>41</v>
      </c>
      <c r="B11" s="9" t="s">
        <v>70</v>
      </c>
      <c r="C11" s="31" t="s">
        <v>49</v>
      </c>
    </row>
    <row r="12" spans="1:12" ht="17">
      <c r="A12" s="37" t="s">
        <v>59</v>
      </c>
      <c r="B12" s="38" t="s">
        <v>60</v>
      </c>
      <c r="C12" s="39" t="s">
        <v>61</v>
      </c>
    </row>
    <row r="13" spans="1:12" ht="17">
      <c r="A13" s="37" t="s">
        <v>62</v>
      </c>
      <c r="B13" s="38" t="s">
        <v>60</v>
      </c>
      <c r="C13" s="39" t="s">
        <v>63</v>
      </c>
    </row>
    <row r="14" spans="1:12" ht="17">
      <c r="A14" s="37" t="s">
        <v>64</v>
      </c>
      <c r="B14" s="38" t="s">
        <v>60</v>
      </c>
      <c r="C14" s="39" t="s">
        <v>65</v>
      </c>
    </row>
    <row r="15" spans="1:12" ht="17">
      <c r="A15" s="37" t="s">
        <v>66</v>
      </c>
      <c r="B15" s="38" t="s">
        <v>60</v>
      </c>
      <c r="C15" s="39" t="s">
        <v>67</v>
      </c>
    </row>
    <row r="16" spans="1:12" ht="17">
      <c r="A16" s="37" t="s">
        <v>92</v>
      </c>
      <c r="B16" s="38" t="s">
        <v>93</v>
      </c>
      <c r="C16" s="39" t="s">
        <v>94</v>
      </c>
    </row>
    <row r="17" spans="1:9" ht="34">
      <c r="A17" s="37" t="s">
        <v>115</v>
      </c>
      <c r="B17" s="38" t="s">
        <v>117</v>
      </c>
      <c r="C17" s="39" t="s">
        <v>118</v>
      </c>
    </row>
    <row r="18" spans="1:9" ht="17">
      <c r="A18" s="37" t="s">
        <v>74</v>
      </c>
      <c r="B18" s="38" t="s">
        <v>52</v>
      </c>
      <c r="C18" s="39" t="s">
        <v>76</v>
      </c>
    </row>
    <row r="19" spans="1:9" ht="17">
      <c r="A19" s="43" t="s">
        <v>75</v>
      </c>
      <c r="B19" s="44" t="s">
        <v>52</v>
      </c>
      <c r="C19" s="45" t="s">
        <v>76</v>
      </c>
    </row>
    <row r="22" spans="1:9">
      <c r="A22" s="16" t="s">
        <v>26</v>
      </c>
      <c r="B22" s="22"/>
      <c r="C22" s="22"/>
      <c r="D22" s="22"/>
      <c r="E22" s="22"/>
      <c r="F22" s="22"/>
      <c r="G22" s="22"/>
      <c r="H22" s="22"/>
      <c r="I22" s="23"/>
    </row>
    <row r="23" spans="1:9">
      <c r="A23" s="24" t="s">
        <v>27</v>
      </c>
      <c r="B23" s="4" t="s">
        <v>0</v>
      </c>
      <c r="C23" s="4" t="s">
        <v>28</v>
      </c>
      <c r="D23" s="4" t="s">
        <v>29</v>
      </c>
      <c r="E23" s="4" t="s">
        <v>30</v>
      </c>
      <c r="F23" s="4" t="s">
        <v>31</v>
      </c>
      <c r="G23" s="4" t="s">
        <v>32</v>
      </c>
      <c r="H23" s="4" t="s">
        <v>33</v>
      </c>
      <c r="I23" s="25" t="s">
        <v>34</v>
      </c>
    </row>
    <row r="24" spans="1:9">
      <c r="A24" s="19" t="s">
        <v>35</v>
      </c>
      <c r="B24" s="20" t="s">
        <v>35</v>
      </c>
      <c r="C24" s="20" t="s">
        <v>35</v>
      </c>
      <c r="D24" s="20" t="s">
        <v>35</v>
      </c>
      <c r="E24" s="20" t="s">
        <v>35</v>
      </c>
      <c r="F24" s="20" t="s">
        <v>35</v>
      </c>
      <c r="G24" s="20" t="s">
        <v>35</v>
      </c>
      <c r="H24" s="20" t="s">
        <v>35</v>
      </c>
      <c r="I24" s="21" t="s">
        <v>35</v>
      </c>
    </row>
    <row r="25" spans="1:9">
      <c r="A25" s="3"/>
      <c r="B25" s="3"/>
      <c r="C25" s="3"/>
      <c r="D25" s="3"/>
      <c r="E25" s="3"/>
      <c r="F25" s="3"/>
      <c r="G25" s="3"/>
      <c r="H25" s="3"/>
      <c r="I25" s="14">
        <v>0</v>
      </c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16" t="s">
        <v>57</v>
      </c>
      <c r="B27" s="22"/>
      <c r="C27" s="22"/>
      <c r="D27" s="22"/>
      <c r="E27" s="22"/>
      <c r="F27" s="22"/>
      <c r="G27" s="22"/>
      <c r="H27" s="22"/>
      <c r="I27" s="23"/>
    </row>
    <row r="28" spans="1:9">
      <c r="A28" s="24" t="s">
        <v>27</v>
      </c>
      <c r="B28" s="4" t="s">
        <v>58</v>
      </c>
      <c r="C28" s="4" t="s">
        <v>28</v>
      </c>
      <c r="D28" s="4" t="s">
        <v>29</v>
      </c>
      <c r="E28" s="4" t="s">
        <v>30</v>
      </c>
      <c r="F28" s="4" t="s">
        <v>31</v>
      </c>
      <c r="G28" s="4" t="s">
        <v>32</v>
      </c>
      <c r="H28" s="4" t="s">
        <v>33</v>
      </c>
      <c r="I28" s="25" t="s">
        <v>34</v>
      </c>
    </row>
    <row r="29" spans="1:9">
      <c r="A29" s="24" t="s">
        <v>52</v>
      </c>
      <c r="B29" s="4" t="s">
        <v>50</v>
      </c>
      <c r="C29" s="35" t="s">
        <v>51</v>
      </c>
      <c r="D29" s="35" t="s">
        <v>35</v>
      </c>
      <c r="E29" s="35" t="s">
        <v>35</v>
      </c>
      <c r="F29" s="35" t="s">
        <v>35</v>
      </c>
      <c r="G29" s="35" t="s">
        <v>35</v>
      </c>
      <c r="H29" s="35" t="s">
        <v>35</v>
      </c>
      <c r="I29" s="36" t="s">
        <v>35</v>
      </c>
    </row>
    <row r="30" spans="1:9">
      <c r="A30" s="24" t="s">
        <v>52</v>
      </c>
      <c r="B30" s="4" t="s">
        <v>50</v>
      </c>
      <c r="C30" s="4" t="s">
        <v>53</v>
      </c>
      <c r="D30" s="35" t="s">
        <v>35</v>
      </c>
      <c r="E30" s="35" t="s">
        <v>35</v>
      </c>
      <c r="F30" s="35" t="s">
        <v>35</v>
      </c>
      <c r="G30" s="35" t="s">
        <v>35</v>
      </c>
      <c r="H30" s="35" t="s">
        <v>35</v>
      </c>
      <c r="I30" s="25" t="s">
        <v>35</v>
      </c>
    </row>
    <row r="31" spans="1:9">
      <c r="A31" s="24" t="s">
        <v>45</v>
      </c>
      <c r="B31" s="35" t="s">
        <v>54</v>
      </c>
      <c r="C31" s="35" t="s">
        <v>77</v>
      </c>
      <c r="D31" s="35">
        <f>6*920*0.617</f>
        <v>3405.84</v>
      </c>
      <c r="E31" s="35">
        <f>D31*1.33*0.001</f>
        <v>4.5297672000000002</v>
      </c>
      <c r="F31" s="35" t="s">
        <v>35</v>
      </c>
      <c r="G31" s="35" t="s">
        <v>35</v>
      </c>
      <c r="H31" s="35">
        <v>1.5</v>
      </c>
      <c r="I31" s="36">
        <f>(D31)+(E31*9.16)+(H31*210*0.7)</f>
        <v>3667.8326675520002</v>
      </c>
    </row>
    <row r="32" spans="1:9">
      <c r="A32" s="24" t="s">
        <v>45</v>
      </c>
      <c r="B32" s="35" t="s">
        <v>54</v>
      </c>
      <c r="C32" s="35" t="s">
        <v>55</v>
      </c>
      <c r="D32" s="35">
        <f>D31*1.165</f>
        <v>3967.8036000000002</v>
      </c>
      <c r="E32" s="35">
        <f>E31*1.165</f>
        <v>5.2771787880000005</v>
      </c>
      <c r="F32" s="35" t="s">
        <v>35</v>
      </c>
      <c r="G32" s="35" t="s">
        <v>35</v>
      </c>
      <c r="H32" s="35" t="s">
        <v>35</v>
      </c>
      <c r="I32" s="36">
        <f>D32+(E32*9.16)</f>
        <v>4016.1425576980801</v>
      </c>
    </row>
    <row r="33" spans="1:20">
      <c r="A33" s="24" t="s">
        <v>45</v>
      </c>
      <c r="B33" s="35" t="s">
        <v>54</v>
      </c>
      <c r="C33" s="35" t="s">
        <v>78</v>
      </c>
      <c r="D33" s="35">
        <f>321*5</f>
        <v>1605</v>
      </c>
      <c r="E33" s="35">
        <v>10</v>
      </c>
      <c r="F33" s="35">
        <f>0.205*5</f>
        <v>1.0249999999999999</v>
      </c>
      <c r="G33" s="35">
        <f>0.228*5</f>
        <v>1.1400000000000001</v>
      </c>
      <c r="H33" s="35">
        <v>0</v>
      </c>
      <c r="I33" s="36">
        <f>D33+(E33*9.16)+(F33*136)+(G33*50)</f>
        <v>1893</v>
      </c>
    </row>
    <row r="34" spans="1:20">
      <c r="A34" s="19" t="s">
        <v>52</v>
      </c>
      <c r="B34" s="46" t="s">
        <v>54</v>
      </c>
      <c r="C34" s="46" t="s">
        <v>56</v>
      </c>
      <c r="D34" s="46">
        <v>36.6</v>
      </c>
      <c r="E34" s="46">
        <v>0.09</v>
      </c>
      <c r="F34" s="46">
        <v>1E-3</v>
      </c>
      <c r="G34" s="46">
        <v>1E-3</v>
      </c>
      <c r="H34" s="46">
        <v>0</v>
      </c>
      <c r="I34" s="47">
        <f>D34+(E34*9.16)+(F34*136)+(G34*50)</f>
        <v>37.610399999999998</v>
      </c>
    </row>
    <row r="35" spans="1:20">
      <c r="A35" s="3"/>
      <c r="B35" s="48"/>
      <c r="C35" s="48"/>
      <c r="D35" s="48"/>
      <c r="E35" s="48"/>
      <c r="F35" s="48"/>
      <c r="G35" s="48"/>
      <c r="H35" s="48"/>
      <c r="I35" s="14">
        <f>SUM(I31:I34)</f>
        <v>9614.5856252500798</v>
      </c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</row>
    <row r="36" spans="1:20">
      <c r="A36" s="9"/>
      <c r="B36" s="9"/>
      <c r="C36" s="9"/>
      <c r="D36" s="9"/>
      <c r="E36" s="9"/>
      <c r="F36" s="9"/>
      <c r="G36" s="9"/>
      <c r="H36" s="9"/>
      <c r="I36" s="9"/>
      <c r="J36" s="4"/>
      <c r="K36" s="4"/>
      <c r="L36" s="4"/>
      <c r="M36" s="4"/>
      <c r="N36" s="4"/>
      <c r="O36" s="4"/>
      <c r="P36" s="4"/>
      <c r="Q36" s="4"/>
      <c r="R36" s="4"/>
      <c r="S36" s="4"/>
      <c r="T36" s="41"/>
    </row>
    <row r="37" spans="1:20">
      <c r="A37" s="2"/>
      <c r="B37" s="4"/>
      <c r="C37" s="4"/>
      <c r="D37" s="4"/>
      <c r="E37" s="4"/>
      <c r="F37" s="4"/>
      <c r="G37" s="4"/>
      <c r="H37" s="4"/>
      <c r="I37" s="4"/>
      <c r="J37" s="4"/>
      <c r="K37" s="2"/>
      <c r="L37" s="4"/>
      <c r="M37" s="4"/>
      <c r="N37" s="4"/>
      <c r="O37" s="4"/>
      <c r="P37" s="4"/>
      <c r="Q37" s="4"/>
      <c r="R37" s="4"/>
      <c r="S37" s="4"/>
      <c r="T37" s="41"/>
    </row>
    <row r="38" spans="1:20">
      <c r="A38" s="3" t="s">
        <v>79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3" t="s">
        <v>80</v>
      </c>
      <c r="M38" s="4"/>
      <c r="N38" s="4"/>
      <c r="O38" s="4"/>
      <c r="P38" s="4"/>
      <c r="Q38" s="4"/>
      <c r="R38" s="4"/>
      <c r="S38" s="4"/>
      <c r="T38" s="4"/>
    </row>
    <row r="39" spans="1:20">
      <c r="A39" s="16" t="s">
        <v>82</v>
      </c>
      <c r="B39" s="22"/>
      <c r="C39" s="22"/>
      <c r="D39" s="22"/>
      <c r="E39" s="22"/>
      <c r="F39" s="22"/>
      <c r="G39" s="22"/>
      <c r="H39" s="22"/>
      <c r="I39" s="23"/>
      <c r="J39" s="4"/>
      <c r="K39" s="4"/>
      <c r="L39" s="16" t="s">
        <v>82</v>
      </c>
      <c r="M39" s="22"/>
      <c r="N39" s="22"/>
      <c r="O39" s="22"/>
      <c r="P39" s="22"/>
      <c r="Q39" s="22"/>
      <c r="R39" s="22"/>
      <c r="S39" s="22"/>
      <c r="T39" s="23"/>
    </row>
    <row r="40" spans="1:20">
      <c r="A40" s="24" t="s">
        <v>27</v>
      </c>
      <c r="B40" s="4" t="s">
        <v>58</v>
      </c>
      <c r="C40" s="4" t="s">
        <v>28</v>
      </c>
      <c r="D40" s="4" t="s">
        <v>29</v>
      </c>
      <c r="E40" s="4" t="s">
        <v>30</v>
      </c>
      <c r="F40" s="4" t="s">
        <v>31</v>
      </c>
      <c r="G40" s="4" t="s">
        <v>32</v>
      </c>
      <c r="H40" s="4" t="s">
        <v>33</v>
      </c>
      <c r="I40" s="25" t="s">
        <v>34</v>
      </c>
      <c r="J40" s="4"/>
      <c r="K40" s="4"/>
      <c r="L40" s="24" t="s">
        <v>27</v>
      </c>
      <c r="M40" s="4" t="s">
        <v>58</v>
      </c>
      <c r="N40" s="4" t="s">
        <v>28</v>
      </c>
      <c r="O40" s="4" t="s">
        <v>29</v>
      </c>
      <c r="P40" s="4" t="s">
        <v>30</v>
      </c>
      <c r="Q40" s="4" t="s">
        <v>31</v>
      </c>
      <c r="R40" s="4" t="s">
        <v>32</v>
      </c>
      <c r="S40" s="4" t="s">
        <v>33</v>
      </c>
      <c r="T40" s="25" t="s">
        <v>34</v>
      </c>
    </row>
    <row r="41" spans="1:20">
      <c r="A41" s="24" t="s">
        <v>52</v>
      </c>
      <c r="B41" s="4" t="s">
        <v>50</v>
      </c>
      <c r="C41" s="35" t="s">
        <v>51</v>
      </c>
      <c r="D41" s="35" t="s">
        <v>35</v>
      </c>
      <c r="E41" s="35" t="s">
        <v>35</v>
      </c>
      <c r="F41" s="35" t="s">
        <v>35</v>
      </c>
      <c r="G41" s="35" t="s">
        <v>35</v>
      </c>
      <c r="H41" s="35" t="s">
        <v>35</v>
      </c>
      <c r="I41" s="36" t="s">
        <v>35</v>
      </c>
      <c r="J41" s="4"/>
      <c r="K41" s="4"/>
      <c r="L41" s="24" t="s">
        <v>52</v>
      </c>
      <c r="M41" s="4" t="s">
        <v>50</v>
      </c>
      <c r="N41" s="35" t="s">
        <v>51</v>
      </c>
      <c r="O41" s="35" t="s">
        <v>35</v>
      </c>
      <c r="P41" s="35" t="s">
        <v>35</v>
      </c>
      <c r="Q41" s="35" t="s">
        <v>35</v>
      </c>
      <c r="R41" s="35" t="s">
        <v>35</v>
      </c>
      <c r="S41" s="35" t="s">
        <v>35</v>
      </c>
      <c r="T41" s="36" t="s">
        <v>35</v>
      </c>
    </row>
    <row r="42" spans="1:20">
      <c r="A42" s="24" t="s">
        <v>52</v>
      </c>
      <c r="B42" s="4" t="s">
        <v>50</v>
      </c>
      <c r="C42" s="4" t="s">
        <v>53</v>
      </c>
      <c r="D42" s="35" t="s">
        <v>35</v>
      </c>
      <c r="E42" s="35" t="s">
        <v>35</v>
      </c>
      <c r="F42" s="35" t="s">
        <v>35</v>
      </c>
      <c r="G42" s="35" t="s">
        <v>35</v>
      </c>
      <c r="H42" s="35" t="s">
        <v>35</v>
      </c>
      <c r="I42" s="25" t="s">
        <v>35</v>
      </c>
      <c r="J42" s="4"/>
      <c r="K42" s="4"/>
      <c r="L42" s="24" t="s">
        <v>52</v>
      </c>
      <c r="M42" s="4" t="s">
        <v>50</v>
      </c>
      <c r="N42" s="4" t="s">
        <v>53</v>
      </c>
      <c r="O42" s="35" t="s">
        <v>35</v>
      </c>
      <c r="P42" s="35" t="s">
        <v>35</v>
      </c>
      <c r="Q42" s="35" t="s">
        <v>35</v>
      </c>
      <c r="R42" s="35" t="s">
        <v>35</v>
      </c>
      <c r="S42" s="35" t="s">
        <v>35</v>
      </c>
      <c r="T42" s="25" t="s">
        <v>35</v>
      </c>
    </row>
    <row r="43" spans="1:20">
      <c r="A43" s="24" t="s">
        <v>45</v>
      </c>
      <c r="B43" s="35" t="s">
        <v>54</v>
      </c>
      <c r="C43" s="35" t="s">
        <v>95</v>
      </c>
      <c r="D43" s="35">
        <f>710*6*0.617</f>
        <v>2628.42</v>
      </c>
      <c r="E43" s="35">
        <f>D43*1.33*0.001</f>
        <v>3.4957986000000001</v>
      </c>
      <c r="F43" s="35" t="s">
        <v>35</v>
      </c>
      <c r="G43" s="35" t="s">
        <v>35</v>
      </c>
      <c r="H43" s="35">
        <v>1.5</v>
      </c>
      <c r="I43" s="36">
        <f>(E43*9.16)+(H43*210*0.7)</f>
        <v>252.52151517600001</v>
      </c>
      <c r="J43" s="4"/>
      <c r="K43" s="4"/>
      <c r="L43" s="24" t="s">
        <v>45</v>
      </c>
      <c r="M43" s="35" t="s">
        <v>54</v>
      </c>
      <c r="N43" s="35" t="s">
        <v>109</v>
      </c>
      <c r="O43" s="35">
        <f>710*6*0.617</f>
        <v>2628.42</v>
      </c>
      <c r="P43" s="35">
        <f>O43*1.33*0.001</f>
        <v>3.4957986000000001</v>
      </c>
      <c r="Q43" s="35" t="s">
        <v>35</v>
      </c>
      <c r="R43" s="35" t="s">
        <v>35</v>
      </c>
      <c r="S43" s="35">
        <v>1.5</v>
      </c>
      <c r="T43" s="36">
        <f>(O43)+(P43*9.16)+(S43*210*0.7)</f>
        <v>2880.9415151759999</v>
      </c>
    </row>
    <row r="44" spans="1:20">
      <c r="A44" s="24" t="s">
        <v>45</v>
      </c>
      <c r="B44" s="35" t="s">
        <v>54</v>
      </c>
      <c r="C44" s="35" t="s">
        <v>55</v>
      </c>
      <c r="D44" s="35">
        <f>D43*1.165</f>
        <v>3062.1093000000001</v>
      </c>
      <c r="E44" s="35">
        <f>E43*1.165</f>
        <v>4.0726053690000006</v>
      </c>
      <c r="F44" s="35" t="s">
        <v>35</v>
      </c>
      <c r="G44" s="35" t="s">
        <v>35</v>
      </c>
      <c r="H44" s="35" t="s">
        <v>35</v>
      </c>
      <c r="I44" s="36">
        <f>(E44*9.16)</f>
        <v>37.305065180040003</v>
      </c>
      <c r="J44" s="4"/>
      <c r="K44" s="4"/>
      <c r="L44" s="24" t="s">
        <v>45</v>
      </c>
      <c r="M44" s="35" t="s">
        <v>54</v>
      </c>
      <c r="N44" s="35" t="s">
        <v>55</v>
      </c>
      <c r="O44" s="35">
        <f>O43*1.165</f>
        <v>3062.1093000000001</v>
      </c>
      <c r="P44" s="35">
        <f>P43*1.165</f>
        <v>4.0726053690000006</v>
      </c>
      <c r="Q44" s="35" t="s">
        <v>35</v>
      </c>
      <c r="R44" s="35" t="s">
        <v>35</v>
      </c>
      <c r="S44" s="35" t="s">
        <v>35</v>
      </c>
      <c r="T44" s="36">
        <f>O44+(P44*9.16)</f>
        <v>3099.41436518004</v>
      </c>
    </row>
    <row r="45" spans="1:20">
      <c r="A45" s="24" t="s">
        <v>45</v>
      </c>
      <c r="B45" s="35" t="s">
        <v>54</v>
      </c>
      <c r="C45" s="35" t="s">
        <v>78</v>
      </c>
      <c r="D45" s="35">
        <f>321*5</f>
        <v>1605</v>
      </c>
      <c r="E45" s="35">
        <v>10</v>
      </c>
      <c r="F45" s="35">
        <f>0.205*5</f>
        <v>1.0249999999999999</v>
      </c>
      <c r="G45" s="35">
        <f>0.228*5</f>
        <v>1.1400000000000001</v>
      </c>
      <c r="H45" s="35">
        <v>0</v>
      </c>
      <c r="I45" s="36">
        <f>(E45*9.16)+(F45*228)+(G45*145)</f>
        <v>490.59999999999997</v>
      </c>
      <c r="J45" s="4"/>
      <c r="K45" s="4"/>
      <c r="L45" s="24" t="s">
        <v>45</v>
      </c>
      <c r="M45" s="35" t="s">
        <v>54</v>
      </c>
      <c r="N45" s="35" t="s">
        <v>78</v>
      </c>
      <c r="O45" s="35">
        <f>321*5</f>
        <v>1605</v>
      </c>
      <c r="P45" s="35">
        <v>10</v>
      </c>
      <c r="Q45" s="35">
        <f>0.205*5</f>
        <v>1.0249999999999999</v>
      </c>
      <c r="R45" s="35">
        <f>0.228*5</f>
        <v>1.1400000000000001</v>
      </c>
      <c r="S45" s="35">
        <v>0</v>
      </c>
      <c r="T45" s="36">
        <f>O45+(P45*9.16)+(Q45*228)+(R45*145)</f>
        <v>2095.6</v>
      </c>
    </row>
    <row r="46" spans="1:20">
      <c r="A46" s="19" t="s">
        <v>52</v>
      </c>
      <c r="B46" s="46" t="s">
        <v>54</v>
      </c>
      <c r="C46" s="46" t="s">
        <v>56</v>
      </c>
      <c r="D46" s="46">
        <v>36.6</v>
      </c>
      <c r="E46" s="46">
        <v>0.09</v>
      </c>
      <c r="F46" s="46">
        <v>1E-3</v>
      </c>
      <c r="G46" s="46">
        <v>1E-3</v>
      </c>
      <c r="H46" s="46">
        <v>0</v>
      </c>
      <c r="I46" s="47">
        <f>(E46*9.16)+(F46*228)+(G46*145)</f>
        <v>1.1974</v>
      </c>
      <c r="J46" s="4"/>
      <c r="K46" s="4"/>
      <c r="L46" s="19" t="s">
        <v>52</v>
      </c>
      <c r="M46" s="46" t="s">
        <v>54</v>
      </c>
      <c r="N46" s="46" t="s">
        <v>56</v>
      </c>
      <c r="O46" s="46">
        <v>36.6</v>
      </c>
      <c r="P46" s="46">
        <v>0.09</v>
      </c>
      <c r="Q46" s="46">
        <v>1E-3</v>
      </c>
      <c r="R46" s="46">
        <v>1E-3</v>
      </c>
      <c r="S46" s="46">
        <v>0</v>
      </c>
      <c r="T46" s="47">
        <f>O46+(P46*9.16)+(Q46*228)+(R46*145)</f>
        <v>37.797400000000003</v>
      </c>
    </row>
    <row r="47" spans="1:20">
      <c r="A47" s="3"/>
      <c r="B47" s="48"/>
      <c r="C47" s="48"/>
      <c r="D47" s="48"/>
      <c r="E47" s="48"/>
      <c r="F47" s="48"/>
      <c r="G47" s="48"/>
      <c r="H47" s="48"/>
      <c r="I47" s="14">
        <f>SUM(I43:I46)</f>
        <v>781.62398035603997</v>
      </c>
      <c r="J47" s="4"/>
      <c r="K47" s="4"/>
      <c r="L47" s="3"/>
      <c r="M47" s="48"/>
      <c r="N47" s="48"/>
      <c r="O47" s="48"/>
      <c r="P47" s="48"/>
      <c r="Q47" s="48"/>
      <c r="R47" s="48"/>
      <c r="S47" s="48"/>
      <c r="T47" s="14">
        <f>SUM(T43:T46)</f>
        <v>8113.7532803560398</v>
      </c>
    </row>
    <row r="48" spans="1:20">
      <c r="A48" s="3"/>
      <c r="B48" s="48"/>
      <c r="C48" s="48"/>
      <c r="D48" s="48"/>
      <c r="E48" s="48"/>
      <c r="F48" s="48"/>
      <c r="G48" s="48"/>
      <c r="H48" s="48"/>
      <c r="I48" s="14"/>
      <c r="J48" s="4"/>
      <c r="K48" s="4"/>
      <c r="L48" s="3"/>
      <c r="M48" s="48"/>
      <c r="N48" s="48"/>
      <c r="O48" s="48"/>
      <c r="P48" s="48"/>
      <c r="Q48" s="48"/>
      <c r="R48" s="48"/>
      <c r="S48" s="48"/>
      <c r="T48" s="14"/>
    </row>
    <row r="49" spans="1:20">
      <c r="A49" s="4"/>
      <c r="B49" s="4"/>
      <c r="C49" s="4"/>
      <c r="D49" s="4"/>
      <c r="E49" s="4"/>
      <c r="F49" s="4"/>
      <c r="G49" s="4"/>
      <c r="H49" s="4"/>
      <c r="I49" s="2"/>
      <c r="J49" s="4"/>
      <c r="K49" s="4"/>
      <c r="L49" s="4"/>
      <c r="M49" s="4"/>
      <c r="N49" s="4"/>
      <c r="O49" s="4"/>
      <c r="P49" s="4"/>
      <c r="Q49" s="4"/>
      <c r="R49" s="4"/>
      <c r="S49" s="2"/>
      <c r="T49" s="41"/>
    </row>
    <row r="50" spans="1:20">
      <c r="A50" s="58" t="s">
        <v>79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58" t="s">
        <v>80</v>
      </c>
      <c r="M50" s="41"/>
      <c r="N50" s="41"/>
      <c r="O50" s="41"/>
      <c r="P50" s="41"/>
      <c r="Q50" s="41"/>
      <c r="R50" s="41"/>
      <c r="S50" s="41"/>
      <c r="T50" s="41"/>
    </row>
    <row r="51" spans="1:20">
      <c r="A51" s="16" t="s">
        <v>83</v>
      </c>
      <c r="B51" s="22"/>
      <c r="C51" s="22"/>
      <c r="D51" s="22"/>
      <c r="E51" s="22"/>
      <c r="F51" s="22"/>
      <c r="G51" s="22"/>
      <c r="H51" s="22"/>
      <c r="I51" s="23"/>
      <c r="L51" s="16" t="s">
        <v>83</v>
      </c>
      <c r="M51" s="22"/>
      <c r="N51" s="22"/>
      <c r="O51" s="22"/>
      <c r="P51" s="22"/>
      <c r="Q51" s="22"/>
      <c r="R51" s="22"/>
      <c r="S51" s="22"/>
      <c r="T51" s="23"/>
    </row>
    <row r="52" spans="1:20">
      <c r="A52" s="24" t="s">
        <v>27</v>
      </c>
      <c r="B52" s="4" t="s">
        <v>58</v>
      </c>
      <c r="C52" s="4" t="s">
        <v>28</v>
      </c>
      <c r="D52" s="4" t="s">
        <v>29</v>
      </c>
      <c r="E52" s="4" t="s">
        <v>30</v>
      </c>
      <c r="F52" s="4" t="s">
        <v>31</v>
      </c>
      <c r="G52" s="4" t="s">
        <v>32</v>
      </c>
      <c r="H52" s="4" t="s">
        <v>33</v>
      </c>
      <c r="I52" s="25" t="s">
        <v>34</v>
      </c>
      <c r="L52" s="24" t="s">
        <v>27</v>
      </c>
      <c r="M52" s="4" t="s">
        <v>58</v>
      </c>
      <c r="N52" s="4" t="s">
        <v>28</v>
      </c>
      <c r="O52" s="4" t="s">
        <v>29</v>
      </c>
      <c r="P52" s="4" t="s">
        <v>30</v>
      </c>
      <c r="Q52" s="4" t="s">
        <v>31</v>
      </c>
      <c r="R52" s="4" t="s">
        <v>32</v>
      </c>
      <c r="S52" s="4" t="s">
        <v>33</v>
      </c>
      <c r="T52" s="25" t="s">
        <v>34</v>
      </c>
    </row>
    <row r="53" spans="1:20">
      <c r="A53" s="24" t="s">
        <v>52</v>
      </c>
      <c r="B53" s="4" t="s">
        <v>50</v>
      </c>
      <c r="C53" s="35" t="s">
        <v>51</v>
      </c>
      <c r="D53" s="35" t="s">
        <v>35</v>
      </c>
      <c r="E53" s="35" t="s">
        <v>35</v>
      </c>
      <c r="F53" s="35" t="s">
        <v>35</v>
      </c>
      <c r="G53" s="35" t="s">
        <v>35</v>
      </c>
      <c r="H53" s="35" t="s">
        <v>35</v>
      </c>
      <c r="I53" s="36" t="s">
        <v>35</v>
      </c>
      <c r="L53" s="24" t="s">
        <v>52</v>
      </c>
      <c r="M53" s="4" t="s">
        <v>50</v>
      </c>
      <c r="N53" s="35" t="s">
        <v>51</v>
      </c>
      <c r="O53" s="35" t="s">
        <v>35</v>
      </c>
      <c r="P53" s="35" t="s">
        <v>35</v>
      </c>
      <c r="Q53" s="35" t="s">
        <v>35</v>
      </c>
      <c r="R53" s="35" t="s">
        <v>35</v>
      </c>
      <c r="S53" s="35" t="s">
        <v>35</v>
      </c>
      <c r="T53" s="36" t="s">
        <v>35</v>
      </c>
    </row>
    <row r="54" spans="1:20">
      <c r="A54" s="24" t="s">
        <v>52</v>
      </c>
      <c r="B54" s="4" t="s">
        <v>50</v>
      </c>
      <c r="C54" s="4" t="s">
        <v>53</v>
      </c>
      <c r="D54" s="35" t="s">
        <v>35</v>
      </c>
      <c r="E54" s="35" t="s">
        <v>35</v>
      </c>
      <c r="F54" s="35" t="s">
        <v>35</v>
      </c>
      <c r="G54" s="35" t="s">
        <v>35</v>
      </c>
      <c r="H54" s="35" t="s">
        <v>35</v>
      </c>
      <c r="I54" s="25" t="s">
        <v>35</v>
      </c>
      <c r="L54" s="24" t="s">
        <v>52</v>
      </c>
      <c r="M54" s="4" t="s">
        <v>50</v>
      </c>
      <c r="N54" s="4" t="s">
        <v>53</v>
      </c>
      <c r="O54" s="35" t="s">
        <v>35</v>
      </c>
      <c r="P54" s="35" t="s">
        <v>35</v>
      </c>
      <c r="Q54" s="35" t="s">
        <v>35</v>
      </c>
      <c r="R54" s="35" t="s">
        <v>35</v>
      </c>
      <c r="S54" s="35" t="s">
        <v>35</v>
      </c>
      <c r="T54" s="25" t="s">
        <v>35</v>
      </c>
    </row>
    <row r="55" spans="1:20">
      <c r="A55" s="24" t="s">
        <v>45</v>
      </c>
      <c r="B55" s="35" t="s">
        <v>54</v>
      </c>
      <c r="C55" s="35" t="s">
        <v>104</v>
      </c>
      <c r="D55" s="35">
        <f>210*6*0.617</f>
        <v>777.42</v>
      </c>
      <c r="E55" s="35">
        <f>D55*1.33*0.001</f>
        <v>1.0339685999999999</v>
      </c>
      <c r="F55" s="35" t="s">
        <v>35</v>
      </c>
      <c r="G55" s="35" t="s">
        <v>35</v>
      </c>
      <c r="H55" s="35">
        <v>1.5</v>
      </c>
      <c r="I55" s="36">
        <f>(D55)+(E55*9.16)+(H55*210*0.7)</f>
        <v>1007.3911523759999</v>
      </c>
      <c r="L55" s="24" t="s">
        <v>45</v>
      </c>
      <c r="M55" s="35" t="s">
        <v>54</v>
      </c>
      <c r="N55" s="35" t="s">
        <v>104</v>
      </c>
      <c r="O55" s="35">
        <f>210*6*0.617</f>
        <v>777.42</v>
      </c>
      <c r="P55" s="35">
        <f>O55*1.33*0.001</f>
        <v>1.0339685999999999</v>
      </c>
      <c r="Q55" s="35" t="s">
        <v>35</v>
      </c>
      <c r="R55" s="35" t="s">
        <v>35</v>
      </c>
      <c r="S55" s="35">
        <v>1.5</v>
      </c>
      <c r="T55" s="36">
        <f>(O55)+(P55*9.16)+(S55*210*0.7)</f>
        <v>1007.3911523759999</v>
      </c>
    </row>
    <row r="56" spans="1:20">
      <c r="A56" s="24" t="s">
        <v>45</v>
      </c>
      <c r="B56" s="35" t="s">
        <v>54</v>
      </c>
      <c r="C56" s="35" t="s">
        <v>55</v>
      </c>
      <c r="D56" s="35">
        <f>D55*1.165</f>
        <v>905.6943</v>
      </c>
      <c r="E56" s="35">
        <f>E55*1.165</f>
        <v>1.2045734189999999</v>
      </c>
      <c r="F56" s="35" t="s">
        <v>35</v>
      </c>
      <c r="G56" s="35" t="s">
        <v>35</v>
      </c>
      <c r="H56" s="35" t="s">
        <v>35</v>
      </c>
      <c r="I56" s="36">
        <f>D56+(E56*9.16)</f>
        <v>916.72819251804003</v>
      </c>
      <c r="L56" s="24" t="s">
        <v>45</v>
      </c>
      <c r="M56" s="35" t="s">
        <v>54</v>
      </c>
      <c r="N56" s="35" t="s">
        <v>55</v>
      </c>
      <c r="O56" s="35">
        <f>O55*1.165</f>
        <v>905.6943</v>
      </c>
      <c r="P56" s="35">
        <f>P55*1.165</f>
        <v>1.2045734189999999</v>
      </c>
      <c r="Q56" s="35" t="s">
        <v>35</v>
      </c>
      <c r="R56" s="35" t="s">
        <v>35</v>
      </c>
      <c r="S56" s="35" t="s">
        <v>35</v>
      </c>
      <c r="T56" s="36">
        <f>O56+(P56*9.16)</f>
        <v>916.72819251804003</v>
      </c>
    </row>
    <row r="57" spans="1:20">
      <c r="A57" s="24" t="s">
        <v>45</v>
      </c>
      <c r="B57" s="35" t="s">
        <v>54</v>
      </c>
      <c r="C57" s="35" t="s">
        <v>78</v>
      </c>
      <c r="D57" s="35">
        <f>321*5</f>
        <v>1605</v>
      </c>
      <c r="E57" s="35">
        <v>10</v>
      </c>
      <c r="F57" s="35">
        <f>0.205*5</f>
        <v>1.0249999999999999</v>
      </c>
      <c r="G57" s="35">
        <f>0.228*5</f>
        <v>1.1400000000000001</v>
      </c>
      <c r="H57" s="35">
        <v>0</v>
      </c>
      <c r="I57" s="36">
        <f>D57+(E57*9.16)+(F57*136)+(G57*50)</f>
        <v>1893</v>
      </c>
      <c r="L57" s="24" t="s">
        <v>45</v>
      </c>
      <c r="M57" s="35" t="s">
        <v>54</v>
      </c>
      <c r="N57" s="35" t="s">
        <v>78</v>
      </c>
      <c r="O57" s="35">
        <f>321*5</f>
        <v>1605</v>
      </c>
      <c r="P57" s="35">
        <v>10</v>
      </c>
      <c r="Q57" s="35">
        <f>0.205*5</f>
        <v>1.0249999999999999</v>
      </c>
      <c r="R57" s="35">
        <f>0.228*5</f>
        <v>1.1400000000000001</v>
      </c>
      <c r="S57" s="35">
        <v>0</v>
      </c>
      <c r="T57" s="36">
        <f>O57+(P57*9.16)+(Q57*136)+(R57*50)</f>
        <v>1893</v>
      </c>
    </row>
    <row r="58" spans="1:20">
      <c r="A58" s="19" t="s">
        <v>52</v>
      </c>
      <c r="B58" s="46" t="s">
        <v>54</v>
      </c>
      <c r="C58" s="46" t="s">
        <v>56</v>
      </c>
      <c r="D58" s="46">
        <v>36.6</v>
      </c>
      <c r="E58" s="46">
        <v>0.09</v>
      </c>
      <c r="F58" s="46">
        <v>1E-3</v>
      </c>
      <c r="G58" s="46">
        <v>1E-3</v>
      </c>
      <c r="H58" s="46">
        <v>0</v>
      </c>
      <c r="I58" s="47">
        <f>D58+(E58*9.16)+(F58*136)+(G58*50)</f>
        <v>37.610399999999998</v>
      </c>
      <c r="L58" s="19" t="s">
        <v>52</v>
      </c>
      <c r="M58" s="46" t="s">
        <v>54</v>
      </c>
      <c r="N58" s="46" t="s">
        <v>56</v>
      </c>
      <c r="O58" s="46">
        <v>36.6</v>
      </c>
      <c r="P58" s="46">
        <v>0.09</v>
      </c>
      <c r="Q58" s="46">
        <v>1E-3</v>
      </c>
      <c r="R58" s="46">
        <v>1E-3</v>
      </c>
      <c r="S58" s="46">
        <v>0</v>
      </c>
      <c r="T58" s="47">
        <f>O58+(P58*9.16)+(Q58*136)+(R58*50)</f>
        <v>37.610399999999998</v>
      </c>
    </row>
    <row r="59" spans="1:20">
      <c r="A59" s="3"/>
      <c r="B59" s="48"/>
      <c r="C59" s="48"/>
      <c r="D59" s="48"/>
      <c r="E59" s="48"/>
      <c r="F59" s="48"/>
      <c r="G59" s="48"/>
      <c r="H59" s="48"/>
      <c r="I59" s="14">
        <f>SUM(I55:I58)</f>
        <v>3854.7297448940399</v>
      </c>
      <c r="L59" s="3"/>
      <c r="M59" s="48"/>
      <c r="N59" s="48"/>
      <c r="O59" s="48"/>
      <c r="P59" s="48"/>
      <c r="Q59" s="48"/>
      <c r="R59" s="48"/>
      <c r="S59" s="48"/>
      <c r="T59" s="14">
        <f>SUM(T55:T58)</f>
        <v>3854.7297448940399</v>
      </c>
    </row>
    <row r="60" spans="1:20">
      <c r="A60" s="3"/>
      <c r="B60" s="48"/>
      <c r="C60" s="48"/>
      <c r="D60" s="48"/>
      <c r="E60" s="48"/>
      <c r="F60" s="48"/>
      <c r="G60" s="48"/>
      <c r="H60" s="48"/>
      <c r="I60" s="14"/>
      <c r="L60" s="3"/>
      <c r="M60" s="48"/>
      <c r="N60" s="48"/>
      <c r="O60" s="48"/>
      <c r="P60" s="48"/>
      <c r="Q60" s="48"/>
      <c r="R60" s="48"/>
      <c r="S60" s="48"/>
      <c r="T60" s="14"/>
    </row>
    <row r="61" spans="1:20">
      <c r="A61" s="59" t="s">
        <v>84</v>
      </c>
      <c r="B61" s="60" t="s">
        <v>12</v>
      </c>
      <c r="C61" s="60" t="s">
        <v>85</v>
      </c>
      <c r="D61" s="60" t="s">
        <v>86</v>
      </c>
      <c r="E61" s="60" t="s">
        <v>22</v>
      </c>
      <c r="F61" s="61"/>
    </row>
    <row r="62" spans="1:20">
      <c r="A62" s="64"/>
      <c r="B62" s="62"/>
      <c r="C62" s="62"/>
      <c r="D62" s="62"/>
      <c r="E62" s="62"/>
      <c r="F62" s="65"/>
    </row>
    <row r="63" spans="1:20">
      <c r="A63" s="64" t="s">
        <v>79</v>
      </c>
      <c r="B63" s="62">
        <v>0</v>
      </c>
      <c r="C63" s="69">
        <v>9614.5856299999996</v>
      </c>
      <c r="D63" s="69">
        <v>781.62398040000005</v>
      </c>
      <c r="E63" s="62">
        <v>3854.7297450000001</v>
      </c>
      <c r="F63" s="65"/>
    </row>
    <row r="64" spans="1:20">
      <c r="A64" s="66" t="s">
        <v>80</v>
      </c>
      <c r="B64" s="63">
        <v>0</v>
      </c>
      <c r="C64" s="85">
        <v>9614.5856299999996</v>
      </c>
      <c r="D64" s="63">
        <v>8113.7532799999999</v>
      </c>
      <c r="E64" s="63">
        <v>3854.7297450000001</v>
      </c>
      <c r="F64" s="67"/>
    </row>
    <row r="65" spans="1:6">
      <c r="A65" s="68"/>
      <c r="B65" s="69"/>
      <c r="C65" s="69"/>
      <c r="D65" s="69"/>
      <c r="E65" s="69"/>
      <c r="F65" s="68"/>
    </row>
    <row r="66" spans="1:6">
      <c r="A66" s="59" t="s">
        <v>87</v>
      </c>
      <c r="B66" s="60" t="s">
        <v>12</v>
      </c>
      <c r="C66" s="60" t="s">
        <v>85</v>
      </c>
      <c r="D66" s="60" t="s">
        <v>86</v>
      </c>
      <c r="E66" s="60" t="s">
        <v>22</v>
      </c>
      <c r="F66" s="61" t="s">
        <v>88</v>
      </c>
    </row>
    <row r="67" spans="1:6">
      <c r="A67" s="64"/>
      <c r="B67" s="62"/>
      <c r="C67" s="62"/>
      <c r="D67" s="62"/>
      <c r="E67" s="62"/>
      <c r="F67" s="65"/>
    </row>
    <row r="68" spans="1:6" ht="21">
      <c r="A68" s="64" t="s">
        <v>79</v>
      </c>
      <c r="B68" s="62">
        <v>0</v>
      </c>
      <c r="C68" s="62">
        <f>C63*10</f>
        <v>96145.856299999999</v>
      </c>
      <c r="D68" s="62">
        <f>D63</f>
        <v>781.62398040000005</v>
      </c>
      <c r="E68" s="62">
        <f>E63*10</f>
        <v>38547.297449999998</v>
      </c>
      <c r="F68" s="70">
        <f>SUM(B68:E68)</f>
        <v>135474.7777304</v>
      </c>
    </row>
    <row r="69" spans="1:6" ht="21">
      <c r="A69" s="66" t="s">
        <v>80</v>
      </c>
      <c r="B69" s="63">
        <v>0</v>
      </c>
      <c r="C69" s="63">
        <f>C64*10</f>
        <v>96145.856299999999</v>
      </c>
      <c r="D69" s="63">
        <f>D64</f>
        <v>8113.7532799999999</v>
      </c>
      <c r="E69" s="63">
        <f>E64*10</f>
        <v>38547.297449999998</v>
      </c>
      <c r="F69" s="71">
        <f>SUM(B69:E69)</f>
        <v>142806.90703</v>
      </c>
    </row>
  </sheetData>
  <pageMargins left="0.7" right="0.7" top="0.75" bottom="0.75" header="0.3" footer="0.3"/>
  <ignoredErrors>
    <ignoredError sqref="D68:D6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4DAEE-DB0C-8D47-B858-6770D7A89773}">
  <dimension ref="A1:T69"/>
  <sheetViews>
    <sheetView workbookViewId="0">
      <selection activeCell="C3" sqref="C3"/>
    </sheetView>
  </sheetViews>
  <sheetFormatPr baseColWidth="10" defaultRowHeight="16"/>
  <cols>
    <col min="1" max="1" width="43.33203125" customWidth="1"/>
    <col min="2" max="2" width="26.5" customWidth="1"/>
    <col min="3" max="3" width="31.5" customWidth="1"/>
    <col min="4" max="4" width="17" customWidth="1"/>
    <col min="5" max="5" width="24" customWidth="1"/>
    <col min="9" max="9" width="11.6640625" bestFit="1" customWidth="1"/>
    <col min="11" max="11" width="16" customWidth="1"/>
    <col min="12" max="12" width="23.5" customWidth="1"/>
    <col min="13" max="13" width="16.6640625" customWidth="1"/>
  </cols>
  <sheetData>
    <row r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3"/>
    </row>
    <row r="2" spans="1:13" ht="17">
      <c r="A2" s="27" t="s">
        <v>11</v>
      </c>
      <c r="B2" s="28" t="s">
        <v>12</v>
      </c>
      <c r="C2" s="28" t="s">
        <v>13</v>
      </c>
      <c r="D2" s="28" t="s">
        <v>14</v>
      </c>
      <c r="E2" s="29" t="s">
        <v>22</v>
      </c>
      <c r="F2" s="8"/>
      <c r="G2" s="8"/>
      <c r="H2" s="8"/>
      <c r="I2" s="8"/>
      <c r="J2" s="8"/>
      <c r="K2" s="8"/>
      <c r="L2" s="8"/>
      <c r="M2" s="3"/>
    </row>
    <row r="3" spans="1:13" ht="34">
      <c r="A3" s="32" t="s">
        <v>15</v>
      </c>
      <c r="B3" s="33" t="s">
        <v>106</v>
      </c>
      <c r="C3" s="33" t="s">
        <v>21</v>
      </c>
      <c r="D3" s="33" t="s">
        <v>16</v>
      </c>
      <c r="E3" s="34" t="s">
        <v>107</v>
      </c>
      <c r="F3" s="8"/>
      <c r="G3" s="8"/>
      <c r="H3" s="8"/>
      <c r="I3" s="8"/>
      <c r="J3" s="8"/>
      <c r="K3" s="8"/>
      <c r="L3" s="8"/>
      <c r="M3" s="3"/>
    </row>
    <row r="4" spans="1:1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3"/>
    </row>
    <row r="5" spans="1:1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3"/>
    </row>
    <row r="6" spans="1:13" ht="34">
      <c r="A6" s="27" t="s">
        <v>36</v>
      </c>
      <c r="B6" s="28" t="s">
        <v>37</v>
      </c>
      <c r="C6" s="29" t="s">
        <v>38</v>
      </c>
      <c r="D6" s="8"/>
      <c r="E6" s="55" t="s">
        <v>81</v>
      </c>
      <c r="F6" s="75"/>
      <c r="G6" s="75"/>
      <c r="H6" s="75"/>
      <c r="I6" s="75"/>
      <c r="J6" s="75"/>
      <c r="K6" s="75"/>
      <c r="L6" s="76"/>
      <c r="M6" s="3"/>
    </row>
    <row r="7" spans="1:13" ht="34">
      <c r="A7" s="30" t="s">
        <v>39</v>
      </c>
      <c r="B7" s="9" t="s">
        <v>69</v>
      </c>
      <c r="C7" s="31" t="s">
        <v>46</v>
      </c>
      <c r="D7" s="8"/>
      <c r="E7" s="56" t="s">
        <v>0</v>
      </c>
      <c r="F7" s="7" t="s">
        <v>1</v>
      </c>
      <c r="G7" s="7" t="s">
        <v>2</v>
      </c>
      <c r="H7" s="7" t="s">
        <v>3</v>
      </c>
      <c r="I7" s="7" t="s">
        <v>4</v>
      </c>
      <c r="J7" s="7" t="s">
        <v>5</v>
      </c>
      <c r="K7" s="7" t="s">
        <v>6</v>
      </c>
      <c r="L7" s="57" t="s">
        <v>7</v>
      </c>
      <c r="M7" s="3"/>
    </row>
    <row r="8" spans="1:13" ht="17">
      <c r="A8" s="30" t="s">
        <v>73</v>
      </c>
      <c r="B8" s="9" t="s">
        <v>68</v>
      </c>
      <c r="C8" s="31" t="s">
        <v>47</v>
      </c>
      <c r="D8" s="8"/>
      <c r="E8" s="30" t="s">
        <v>8</v>
      </c>
      <c r="F8" s="9">
        <v>2.77</v>
      </c>
      <c r="G8" s="10">
        <v>9.16</v>
      </c>
      <c r="H8" s="10">
        <v>237</v>
      </c>
      <c r="I8" s="10">
        <v>40</v>
      </c>
      <c r="J8" s="10">
        <v>0.7</v>
      </c>
      <c r="K8" s="11">
        <v>210</v>
      </c>
      <c r="L8" s="51">
        <v>0</v>
      </c>
      <c r="M8" s="3"/>
    </row>
    <row r="9" spans="1:13" ht="34">
      <c r="A9" s="30" t="s">
        <v>71</v>
      </c>
      <c r="B9" s="9" t="s">
        <v>70</v>
      </c>
      <c r="C9" s="31" t="s">
        <v>72</v>
      </c>
      <c r="D9" s="8"/>
      <c r="E9" s="30" t="s">
        <v>9</v>
      </c>
      <c r="F9" s="9">
        <v>10</v>
      </c>
      <c r="G9" s="9">
        <v>9.16</v>
      </c>
      <c r="H9" s="9">
        <v>136</v>
      </c>
      <c r="I9" s="9">
        <v>50</v>
      </c>
      <c r="J9" s="9">
        <v>0.7</v>
      </c>
      <c r="K9" s="9">
        <v>410</v>
      </c>
      <c r="L9" s="31">
        <v>420</v>
      </c>
      <c r="M9" s="3"/>
    </row>
    <row r="10" spans="1:13" ht="17">
      <c r="A10" s="30" t="s">
        <v>40</v>
      </c>
      <c r="B10" s="9" t="s">
        <v>68</v>
      </c>
      <c r="C10" s="31" t="s">
        <v>49</v>
      </c>
      <c r="D10" s="8"/>
      <c r="E10" s="32" t="s">
        <v>10</v>
      </c>
      <c r="F10" s="33">
        <v>1</v>
      </c>
      <c r="G10" s="52">
        <v>9.16</v>
      </c>
      <c r="H10" s="52">
        <v>228</v>
      </c>
      <c r="I10" s="52">
        <v>145</v>
      </c>
      <c r="J10" s="52">
        <v>0.7</v>
      </c>
      <c r="K10" s="53">
        <v>500</v>
      </c>
      <c r="L10" s="54">
        <v>500</v>
      </c>
      <c r="M10" s="3"/>
    </row>
    <row r="11" spans="1:13" ht="34">
      <c r="A11" s="30" t="s">
        <v>41</v>
      </c>
      <c r="B11" s="9" t="s">
        <v>70</v>
      </c>
      <c r="C11" s="31" t="s">
        <v>49</v>
      </c>
      <c r="D11" s="8"/>
      <c r="E11" s="8"/>
      <c r="F11" s="8"/>
      <c r="G11" s="8"/>
      <c r="H11" s="8"/>
      <c r="I11" s="8"/>
      <c r="J11" s="8"/>
      <c r="K11" s="8"/>
      <c r="L11" s="8"/>
      <c r="M11" s="3"/>
    </row>
    <row r="12" spans="1:13" ht="17">
      <c r="A12" s="37" t="s">
        <v>59</v>
      </c>
      <c r="B12" s="38" t="s">
        <v>60</v>
      </c>
      <c r="C12" s="39" t="s">
        <v>61</v>
      </c>
      <c r="D12" s="8"/>
      <c r="E12" s="8"/>
      <c r="F12" s="8"/>
      <c r="G12" s="8"/>
      <c r="H12" s="8"/>
      <c r="I12" s="8"/>
      <c r="J12" s="8"/>
      <c r="K12" s="8"/>
      <c r="L12" s="8"/>
      <c r="M12" s="3"/>
    </row>
    <row r="13" spans="1:13" ht="17">
      <c r="A13" s="37" t="s">
        <v>62</v>
      </c>
      <c r="B13" s="38" t="s">
        <v>60</v>
      </c>
      <c r="C13" s="39" t="s">
        <v>63</v>
      </c>
      <c r="D13" s="8"/>
      <c r="E13" s="8"/>
      <c r="F13" s="8"/>
      <c r="G13" s="8"/>
      <c r="H13" s="8"/>
      <c r="I13" s="8"/>
      <c r="J13" s="8"/>
      <c r="K13" s="8"/>
      <c r="L13" s="8"/>
      <c r="M13" s="3"/>
    </row>
    <row r="14" spans="1:13" ht="17">
      <c r="A14" s="37" t="s">
        <v>64</v>
      </c>
      <c r="B14" s="38" t="s">
        <v>60</v>
      </c>
      <c r="C14" s="39" t="s">
        <v>65</v>
      </c>
      <c r="D14" s="8"/>
      <c r="E14" s="8"/>
      <c r="F14" s="8"/>
      <c r="G14" s="8"/>
      <c r="H14" s="8"/>
      <c r="I14" s="8"/>
      <c r="J14" s="8"/>
      <c r="K14" s="8"/>
      <c r="L14" s="8"/>
      <c r="M14" s="3"/>
    </row>
    <row r="15" spans="1:13" ht="17">
      <c r="A15" s="37" t="s">
        <v>66</v>
      </c>
      <c r="B15" s="38" t="s">
        <v>60</v>
      </c>
      <c r="C15" s="39" t="s">
        <v>67</v>
      </c>
      <c r="D15" s="8"/>
      <c r="E15" s="8"/>
      <c r="F15" s="8"/>
      <c r="G15" s="8"/>
      <c r="H15" s="8"/>
      <c r="I15" s="8"/>
      <c r="J15" s="8"/>
      <c r="K15" s="8"/>
      <c r="L15" s="8"/>
      <c r="M15" s="3"/>
    </row>
    <row r="16" spans="1:13" ht="17">
      <c r="A16" s="37" t="s">
        <v>92</v>
      </c>
      <c r="B16" s="38" t="s">
        <v>93</v>
      </c>
      <c r="C16" s="39" t="s">
        <v>94</v>
      </c>
      <c r="D16" s="8"/>
      <c r="E16" s="8"/>
      <c r="F16" s="8"/>
      <c r="G16" s="8"/>
      <c r="H16" s="8"/>
      <c r="I16" s="8"/>
      <c r="J16" s="8"/>
      <c r="K16" s="8"/>
      <c r="L16" s="8"/>
      <c r="M16" s="3"/>
    </row>
    <row r="17" spans="1:13" ht="34">
      <c r="A17" s="37" t="s">
        <v>115</v>
      </c>
      <c r="B17" s="38" t="s">
        <v>117</v>
      </c>
      <c r="C17" s="39" t="s">
        <v>118</v>
      </c>
      <c r="D17" s="8"/>
      <c r="E17" s="8"/>
      <c r="F17" s="8"/>
      <c r="G17" s="8"/>
      <c r="H17" s="8"/>
      <c r="I17" s="8"/>
      <c r="J17" s="8"/>
      <c r="K17" s="8"/>
      <c r="L17" s="8"/>
      <c r="M17" s="3"/>
    </row>
    <row r="18" spans="1:13" ht="17">
      <c r="A18" s="37" t="s">
        <v>74</v>
      </c>
      <c r="B18" s="38" t="s">
        <v>52</v>
      </c>
      <c r="C18" s="39" t="s">
        <v>76</v>
      </c>
      <c r="D18" s="8"/>
      <c r="E18" s="8"/>
      <c r="F18" s="8"/>
      <c r="G18" s="8"/>
      <c r="H18" s="8"/>
      <c r="I18" s="8"/>
      <c r="J18" s="8"/>
      <c r="K18" s="8"/>
      <c r="L18" s="8"/>
      <c r="M18" s="3"/>
    </row>
    <row r="19" spans="1:13" ht="17">
      <c r="A19" s="43" t="s">
        <v>75</v>
      </c>
      <c r="B19" s="44" t="s">
        <v>52</v>
      </c>
      <c r="C19" s="45" t="s">
        <v>76</v>
      </c>
      <c r="D19" s="8"/>
      <c r="E19" s="8"/>
      <c r="F19" s="8"/>
      <c r="G19" s="8"/>
      <c r="H19" s="8"/>
      <c r="I19" s="8"/>
      <c r="J19" s="8"/>
      <c r="K19" s="8"/>
      <c r="L19" s="8"/>
      <c r="M19" s="3"/>
    </row>
    <row r="20" spans="1:1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3"/>
    </row>
    <row r="21" spans="1:13">
      <c r="A21" s="16" t="s">
        <v>110</v>
      </c>
      <c r="B21" s="72"/>
      <c r="C21" s="22"/>
      <c r="D21" s="22"/>
      <c r="E21" s="22"/>
      <c r="F21" s="22"/>
      <c r="G21" s="22"/>
      <c r="H21" s="22"/>
      <c r="I21" s="73"/>
      <c r="J21" s="12"/>
      <c r="K21" s="12"/>
      <c r="L21" s="12"/>
    </row>
    <row r="22" spans="1:13">
      <c r="A22" s="24" t="s">
        <v>27</v>
      </c>
      <c r="B22" s="4" t="s">
        <v>58</v>
      </c>
      <c r="C22" s="4" t="s">
        <v>28</v>
      </c>
      <c r="D22" s="4" t="s">
        <v>29</v>
      </c>
      <c r="E22" s="4" t="s">
        <v>30</v>
      </c>
      <c r="F22" s="4" t="s">
        <v>31</v>
      </c>
      <c r="G22" s="4" t="s">
        <v>32</v>
      </c>
      <c r="H22" s="4" t="s">
        <v>33</v>
      </c>
      <c r="I22" s="25" t="s">
        <v>34</v>
      </c>
    </row>
    <row r="23" spans="1:13">
      <c r="A23" s="24" t="s">
        <v>52</v>
      </c>
      <c r="B23" s="74" t="s">
        <v>50</v>
      </c>
      <c r="C23" s="35" t="s">
        <v>51</v>
      </c>
      <c r="D23" s="87">
        <v>399.16</v>
      </c>
      <c r="E23" s="87" t="s">
        <v>35</v>
      </c>
      <c r="F23" s="87" t="s">
        <v>35</v>
      </c>
      <c r="G23" s="87" t="s">
        <v>35</v>
      </c>
      <c r="H23" s="87">
        <v>0</v>
      </c>
      <c r="I23" s="88">
        <v>399.16</v>
      </c>
    </row>
    <row r="24" spans="1:13">
      <c r="A24" s="82" t="s">
        <v>52</v>
      </c>
      <c r="B24" s="20" t="s">
        <v>50</v>
      </c>
      <c r="C24" s="20" t="s">
        <v>53</v>
      </c>
      <c r="D24" s="83" t="s">
        <v>35</v>
      </c>
      <c r="E24" s="83" t="s">
        <v>35</v>
      </c>
      <c r="F24" s="83" t="s">
        <v>35</v>
      </c>
      <c r="G24" s="83" t="s">
        <v>35</v>
      </c>
      <c r="H24" s="83" t="s">
        <v>35</v>
      </c>
      <c r="I24" s="84" t="s">
        <v>35</v>
      </c>
    </row>
    <row r="25" spans="1:13">
      <c r="A25" s="13"/>
      <c r="B25" s="13"/>
      <c r="C25" s="13"/>
      <c r="D25" s="13"/>
      <c r="E25" s="13"/>
      <c r="F25" s="13"/>
      <c r="G25" s="13"/>
      <c r="H25" s="13"/>
      <c r="I25" s="15">
        <f>I23</f>
        <v>399.16</v>
      </c>
    </row>
    <row r="27" spans="1:13" ht="17">
      <c r="A27" s="27" t="s">
        <v>57</v>
      </c>
      <c r="B27" s="75"/>
      <c r="C27" s="75"/>
      <c r="D27" s="75"/>
      <c r="E27" s="75"/>
      <c r="F27" s="75"/>
      <c r="G27" s="75"/>
      <c r="H27" s="75"/>
      <c r="I27" s="76"/>
      <c r="J27" s="8"/>
      <c r="K27" s="8"/>
      <c r="L27" s="8"/>
      <c r="M27" s="8"/>
    </row>
    <row r="28" spans="1:13" ht="17">
      <c r="A28" s="30" t="s">
        <v>27</v>
      </c>
      <c r="B28" s="9" t="s">
        <v>58</v>
      </c>
      <c r="C28" s="9" t="s">
        <v>28</v>
      </c>
      <c r="D28" s="9" t="s">
        <v>101</v>
      </c>
      <c r="E28" s="9" t="s">
        <v>100</v>
      </c>
      <c r="F28" s="4" t="s">
        <v>98</v>
      </c>
      <c r="G28" s="4" t="s">
        <v>99</v>
      </c>
      <c r="H28" s="9" t="s">
        <v>33</v>
      </c>
      <c r="I28" s="31" t="s">
        <v>34</v>
      </c>
      <c r="J28" s="8"/>
      <c r="K28" s="8"/>
      <c r="L28" s="8"/>
      <c r="M28" s="8"/>
    </row>
    <row r="29" spans="1:13" ht="17">
      <c r="A29" s="30" t="s">
        <v>52</v>
      </c>
      <c r="B29" s="9" t="s">
        <v>50</v>
      </c>
      <c r="C29" s="77" t="s">
        <v>51</v>
      </c>
      <c r="D29" s="77" t="s">
        <v>35</v>
      </c>
      <c r="E29" s="77" t="s">
        <v>35</v>
      </c>
      <c r="F29" s="77" t="s">
        <v>35</v>
      </c>
      <c r="G29" s="77" t="s">
        <v>35</v>
      </c>
      <c r="H29" s="77" t="s">
        <v>35</v>
      </c>
      <c r="I29" s="78" t="s">
        <v>35</v>
      </c>
      <c r="J29" s="8"/>
      <c r="K29" s="8"/>
      <c r="L29" s="8"/>
      <c r="M29" s="8"/>
    </row>
    <row r="30" spans="1:13" ht="17">
      <c r="A30" s="30" t="s">
        <v>52</v>
      </c>
      <c r="B30" s="9" t="s">
        <v>50</v>
      </c>
      <c r="C30" s="9" t="s">
        <v>53</v>
      </c>
      <c r="D30" s="77" t="s">
        <v>35</v>
      </c>
      <c r="E30" s="77" t="s">
        <v>35</v>
      </c>
      <c r="F30" s="77" t="s">
        <v>35</v>
      </c>
      <c r="G30" s="77" t="s">
        <v>35</v>
      </c>
      <c r="H30" s="77" t="s">
        <v>35</v>
      </c>
      <c r="I30" s="31" t="s">
        <v>35</v>
      </c>
      <c r="J30" s="8"/>
      <c r="K30" s="8"/>
      <c r="L30" s="8"/>
      <c r="M30" s="8"/>
    </row>
    <row r="31" spans="1:13" ht="34">
      <c r="A31" s="30" t="s">
        <v>45</v>
      </c>
      <c r="B31" s="77" t="s">
        <v>54</v>
      </c>
      <c r="C31" s="77" t="s">
        <v>108</v>
      </c>
      <c r="D31" s="77">
        <f>6*470*0.617</f>
        <v>1739.94</v>
      </c>
      <c r="E31" s="77">
        <f>D31*1.33*0.001</f>
        <v>2.3141202000000005</v>
      </c>
      <c r="F31" s="77" t="s">
        <v>35</v>
      </c>
      <c r="G31" s="77" t="s">
        <v>35</v>
      </c>
      <c r="H31" s="77">
        <v>1.5</v>
      </c>
      <c r="I31" s="78">
        <f>(D31)+(E31*9.16)+(H31*210*0.7)</f>
        <v>1981.637341032</v>
      </c>
      <c r="J31" s="8"/>
      <c r="K31" s="8"/>
      <c r="L31" s="8"/>
      <c r="M31" s="8"/>
    </row>
    <row r="32" spans="1:13" ht="17">
      <c r="A32" s="30" t="s">
        <v>45</v>
      </c>
      <c r="B32" s="77" t="s">
        <v>54</v>
      </c>
      <c r="C32" s="77" t="s">
        <v>55</v>
      </c>
      <c r="D32" s="77">
        <f>D31*1.165</f>
        <v>2027.0301000000002</v>
      </c>
      <c r="E32" s="77">
        <f>E31*1.165</f>
        <v>2.6959500330000008</v>
      </c>
      <c r="F32" s="77" t="s">
        <v>35</v>
      </c>
      <c r="G32" s="77" t="s">
        <v>35</v>
      </c>
      <c r="H32" s="77" t="s">
        <v>35</v>
      </c>
      <c r="I32" s="78">
        <f>D32+(E32*9.16)</f>
        <v>2051.7250023022802</v>
      </c>
      <c r="J32" s="8"/>
      <c r="K32" s="8"/>
      <c r="L32" s="8"/>
      <c r="M32" s="8"/>
    </row>
    <row r="33" spans="1:20" ht="17">
      <c r="A33" s="30" t="s">
        <v>45</v>
      </c>
      <c r="B33" s="77" t="s">
        <v>54</v>
      </c>
      <c r="C33" s="77" t="s">
        <v>97</v>
      </c>
      <c r="D33" s="77">
        <f>321*3</f>
        <v>963</v>
      </c>
      <c r="E33" s="77">
        <v>6</v>
      </c>
      <c r="F33" s="77">
        <f>0.205*3</f>
        <v>0.61499999999999999</v>
      </c>
      <c r="G33" s="77">
        <f>0.228*3</f>
        <v>0.68400000000000005</v>
      </c>
      <c r="H33" s="77">
        <v>0</v>
      </c>
      <c r="I33" s="78">
        <f>D33+(E33*9.16)+(F33*136)+(G33*50)</f>
        <v>1135.8000000000002</v>
      </c>
      <c r="J33" s="8"/>
      <c r="K33" s="8"/>
      <c r="L33" s="8"/>
      <c r="M33" s="8"/>
    </row>
    <row r="34" spans="1:20" ht="17">
      <c r="A34" s="32" t="s">
        <v>52</v>
      </c>
      <c r="B34" s="79" t="s">
        <v>54</v>
      </c>
      <c r="C34" s="79" t="s">
        <v>56</v>
      </c>
      <c r="D34" s="79">
        <v>36.6</v>
      </c>
      <c r="E34" s="79">
        <v>0.09</v>
      </c>
      <c r="F34" s="79">
        <v>1E-3</v>
      </c>
      <c r="G34" s="79">
        <v>1E-3</v>
      </c>
      <c r="H34" s="79">
        <v>0</v>
      </c>
      <c r="I34" s="80">
        <f>D34+(E34*9.16)+(F34*136)+(G34*50)</f>
        <v>37.610399999999998</v>
      </c>
      <c r="J34" s="8"/>
      <c r="K34" s="8"/>
      <c r="L34" s="8"/>
      <c r="M34" s="8"/>
    </row>
    <row r="35" spans="1:20">
      <c r="A35" s="8"/>
      <c r="B35" s="81"/>
      <c r="C35" s="81"/>
      <c r="D35" s="81"/>
      <c r="E35" s="81"/>
      <c r="F35" s="81"/>
      <c r="G35" s="81"/>
      <c r="H35" s="81"/>
      <c r="I35" s="26">
        <f>SUM(I29:I34)</f>
        <v>5206.7727433342798</v>
      </c>
      <c r="J35" s="9"/>
      <c r="K35" s="9"/>
      <c r="L35" s="9"/>
      <c r="M35" s="8"/>
    </row>
    <row r="38" spans="1:20">
      <c r="A38" s="3" t="s">
        <v>79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3" t="s">
        <v>80</v>
      </c>
      <c r="M38" s="4"/>
      <c r="N38" s="4"/>
      <c r="O38" s="4"/>
      <c r="P38" s="4"/>
      <c r="Q38" s="4"/>
      <c r="R38" s="4"/>
      <c r="S38" s="4"/>
      <c r="T38" s="4"/>
    </row>
    <row r="39" spans="1:20">
      <c r="A39" s="16" t="s">
        <v>82</v>
      </c>
      <c r="B39" s="22"/>
      <c r="C39" s="22"/>
      <c r="D39" s="22"/>
      <c r="E39" s="22"/>
      <c r="F39" s="22"/>
      <c r="G39" s="22"/>
      <c r="H39" s="22"/>
      <c r="I39" s="23"/>
      <c r="J39" s="4"/>
      <c r="K39" s="4"/>
      <c r="L39" s="16" t="s">
        <v>82</v>
      </c>
      <c r="M39" s="22"/>
      <c r="N39" s="22"/>
      <c r="O39" s="22"/>
      <c r="P39" s="22"/>
      <c r="Q39" s="22"/>
      <c r="R39" s="22"/>
      <c r="S39" s="22"/>
      <c r="T39" s="23"/>
    </row>
    <row r="40" spans="1:20" ht="17">
      <c r="A40" s="24" t="s">
        <v>27</v>
      </c>
      <c r="B40" s="4" t="s">
        <v>58</v>
      </c>
      <c r="C40" s="4" t="s">
        <v>28</v>
      </c>
      <c r="D40" s="9" t="s">
        <v>101</v>
      </c>
      <c r="E40" s="9" t="s">
        <v>100</v>
      </c>
      <c r="F40" s="4" t="s">
        <v>98</v>
      </c>
      <c r="G40" s="4" t="s">
        <v>99</v>
      </c>
      <c r="H40" s="4" t="s">
        <v>33</v>
      </c>
      <c r="I40" s="25" t="s">
        <v>34</v>
      </c>
      <c r="J40" s="4"/>
      <c r="K40" s="4"/>
      <c r="L40" s="24" t="s">
        <v>27</v>
      </c>
      <c r="M40" s="4" t="s">
        <v>58</v>
      </c>
      <c r="N40" s="4" t="s">
        <v>28</v>
      </c>
      <c r="O40" s="4" t="s">
        <v>29</v>
      </c>
      <c r="P40" s="4" t="s">
        <v>30</v>
      </c>
      <c r="Q40" s="4" t="s">
        <v>31</v>
      </c>
      <c r="R40" s="4" t="s">
        <v>32</v>
      </c>
      <c r="S40" s="4" t="s">
        <v>33</v>
      </c>
      <c r="T40" s="25" t="s">
        <v>34</v>
      </c>
    </row>
    <row r="41" spans="1:20" ht="17">
      <c r="A41" s="24" t="s">
        <v>52</v>
      </c>
      <c r="B41" s="4" t="s">
        <v>50</v>
      </c>
      <c r="C41" s="35" t="s">
        <v>51</v>
      </c>
      <c r="D41" s="77">
        <v>399.16</v>
      </c>
      <c r="E41" s="77" t="s">
        <v>35</v>
      </c>
      <c r="F41" s="77">
        <v>0.221</v>
      </c>
      <c r="G41" s="77">
        <v>0.221</v>
      </c>
      <c r="H41" s="77">
        <v>0</v>
      </c>
      <c r="I41" s="78">
        <f>(F41*228)+(G41*145)</f>
        <v>82.432999999999993</v>
      </c>
      <c r="J41" s="4"/>
      <c r="K41" s="4"/>
      <c r="L41" s="24" t="s">
        <v>52</v>
      </c>
      <c r="M41" s="4" t="s">
        <v>50</v>
      </c>
      <c r="N41" s="35" t="s">
        <v>51</v>
      </c>
      <c r="O41" s="77">
        <v>399.16</v>
      </c>
      <c r="P41" s="77" t="s">
        <v>35</v>
      </c>
      <c r="Q41" s="77">
        <v>0.221</v>
      </c>
      <c r="R41" s="77">
        <v>0.221</v>
      </c>
      <c r="S41" s="77">
        <v>0</v>
      </c>
      <c r="T41" s="78">
        <f>O41+(Q41*228)+(R41*145)</f>
        <v>481.59300000000002</v>
      </c>
    </row>
    <row r="42" spans="1:20">
      <c r="A42" s="24" t="s">
        <v>52</v>
      </c>
      <c r="B42" s="4" t="s">
        <v>50</v>
      </c>
      <c r="C42" s="4" t="s">
        <v>53</v>
      </c>
      <c r="D42" s="35">
        <v>1665.9</v>
      </c>
      <c r="E42" s="35">
        <v>12.8</v>
      </c>
      <c r="F42" s="35" t="s">
        <v>35</v>
      </c>
      <c r="G42" s="35" t="s">
        <v>35</v>
      </c>
      <c r="H42" s="35">
        <v>0</v>
      </c>
      <c r="I42" s="25">
        <f>D42+(E42*9.16)</f>
        <v>1783.1480000000001</v>
      </c>
      <c r="J42" s="4"/>
      <c r="K42" s="4"/>
      <c r="L42" s="24" t="s">
        <v>52</v>
      </c>
      <c r="M42" s="4" t="s">
        <v>50</v>
      </c>
      <c r="N42" s="4" t="s">
        <v>53</v>
      </c>
      <c r="O42" s="35">
        <v>1665.9</v>
      </c>
      <c r="P42" s="35">
        <v>12.8</v>
      </c>
      <c r="Q42" s="35" t="s">
        <v>35</v>
      </c>
      <c r="R42" s="35" t="s">
        <v>35</v>
      </c>
      <c r="S42" s="35">
        <v>0</v>
      </c>
      <c r="T42" s="25">
        <f>O42+(P42*9.16)</f>
        <v>1783.1480000000001</v>
      </c>
    </row>
    <row r="43" spans="1:20">
      <c r="A43" s="24" t="s">
        <v>45</v>
      </c>
      <c r="B43" s="35" t="s">
        <v>54</v>
      </c>
      <c r="C43" s="35" t="s">
        <v>96</v>
      </c>
      <c r="D43" s="35">
        <f>260*6*0.617</f>
        <v>962.52</v>
      </c>
      <c r="E43" s="35">
        <f>D43*1.33*0.001</f>
        <v>1.2801516000000002</v>
      </c>
      <c r="F43" s="35" t="s">
        <v>35</v>
      </c>
      <c r="G43" s="35" t="s">
        <v>35</v>
      </c>
      <c r="H43" s="35">
        <v>1.5</v>
      </c>
      <c r="I43" s="36">
        <f>(E43*9.16)+(H43*210*0.7)</f>
        <v>232.22618865600001</v>
      </c>
      <c r="J43" s="4"/>
      <c r="K43" s="4"/>
      <c r="L43" s="24" t="s">
        <v>45</v>
      </c>
      <c r="M43" s="35" t="s">
        <v>54</v>
      </c>
      <c r="N43" s="35" t="s">
        <v>96</v>
      </c>
      <c r="O43" s="35">
        <f>260*6*0.617</f>
        <v>962.52</v>
      </c>
      <c r="P43" s="35">
        <f>O43*1.33*0.001</f>
        <v>1.2801516000000002</v>
      </c>
      <c r="Q43" s="35" t="s">
        <v>35</v>
      </c>
      <c r="R43" s="35" t="s">
        <v>35</v>
      </c>
      <c r="S43" s="35">
        <v>1.5</v>
      </c>
      <c r="T43" s="36">
        <f>(O43)+(P43*9.16)+(S43*210*0.7)</f>
        <v>1194.746188656</v>
      </c>
    </row>
    <row r="44" spans="1:20">
      <c r="A44" s="24" t="s">
        <v>45</v>
      </c>
      <c r="B44" s="35" t="s">
        <v>54</v>
      </c>
      <c r="C44" s="35" t="s">
        <v>55</v>
      </c>
      <c r="D44" s="35">
        <f>D43*1.165</f>
        <v>1121.3358000000001</v>
      </c>
      <c r="E44" s="35">
        <f>E43*1.165</f>
        <v>1.4913766140000002</v>
      </c>
      <c r="F44" s="35" t="s">
        <v>35</v>
      </c>
      <c r="G44" s="35" t="s">
        <v>35</v>
      </c>
      <c r="H44" s="35">
        <v>0</v>
      </c>
      <c r="I44" s="36">
        <f>(E44*9.16)</f>
        <v>13.661009784240003</v>
      </c>
      <c r="J44" s="4"/>
      <c r="K44" s="4"/>
      <c r="L44" s="24" t="s">
        <v>45</v>
      </c>
      <c r="M44" s="35" t="s">
        <v>54</v>
      </c>
      <c r="N44" s="35" t="s">
        <v>55</v>
      </c>
      <c r="O44" s="35">
        <f>O43*1.165</f>
        <v>1121.3358000000001</v>
      </c>
      <c r="P44" s="35">
        <f>P43*1.165</f>
        <v>1.4913766140000002</v>
      </c>
      <c r="Q44" s="35" t="s">
        <v>35</v>
      </c>
      <c r="R44" s="35" t="s">
        <v>35</v>
      </c>
      <c r="S44" s="35">
        <v>0</v>
      </c>
      <c r="T44" s="36">
        <f>O44+(P44*9.16)</f>
        <v>1134.99680978424</v>
      </c>
    </row>
    <row r="45" spans="1:20" ht="17">
      <c r="A45" s="24" t="s">
        <v>45</v>
      </c>
      <c r="B45" s="35" t="s">
        <v>54</v>
      </c>
      <c r="C45" s="77" t="s">
        <v>97</v>
      </c>
      <c r="D45" s="77">
        <f>321*3</f>
        <v>963</v>
      </c>
      <c r="E45" s="77">
        <v>6</v>
      </c>
      <c r="F45" s="77">
        <f>0.205*3</f>
        <v>0.61499999999999999</v>
      </c>
      <c r="G45" s="77">
        <f>0.228*3</f>
        <v>0.68400000000000005</v>
      </c>
      <c r="H45" s="77">
        <v>0</v>
      </c>
      <c r="I45" s="78">
        <f>(E45*9.16)+(F45*136)+(G45*50)</f>
        <v>172.8</v>
      </c>
      <c r="J45" s="4"/>
      <c r="K45" s="4"/>
      <c r="L45" s="24" t="s">
        <v>45</v>
      </c>
      <c r="M45" s="35" t="s">
        <v>54</v>
      </c>
      <c r="N45" s="35" t="s">
        <v>78</v>
      </c>
      <c r="O45" s="77">
        <f>321*3</f>
        <v>963</v>
      </c>
      <c r="P45" s="77">
        <v>6</v>
      </c>
      <c r="Q45" s="77">
        <f>0.205*3</f>
        <v>0.61499999999999999</v>
      </c>
      <c r="R45" s="77">
        <f>0.228*3</f>
        <v>0.68400000000000005</v>
      </c>
      <c r="S45" s="77">
        <v>0</v>
      </c>
      <c r="T45" s="36">
        <f>O45+(P45*9.16)+(Q45*228)+(R45*145)</f>
        <v>1257.3600000000001</v>
      </c>
    </row>
    <row r="46" spans="1:20">
      <c r="A46" s="19" t="s">
        <v>52</v>
      </c>
      <c r="B46" s="46" t="s">
        <v>54</v>
      </c>
      <c r="C46" s="46" t="s">
        <v>56</v>
      </c>
      <c r="D46" s="46">
        <v>36.6</v>
      </c>
      <c r="E46" s="46">
        <v>0.09</v>
      </c>
      <c r="F46" s="46">
        <v>1E-3</v>
      </c>
      <c r="G46" s="46">
        <v>1E-3</v>
      </c>
      <c r="H46" s="46">
        <v>0</v>
      </c>
      <c r="I46" s="47">
        <f>(E46*9.16)+(F46*228)+(G46*145)</f>
        <v>1.1974</v>
      </c>
      <c r="J46" s="4"/>
      <c r="K46" s="4"/>
      <c r="L46" s="19" t="s">
        <v>52</v>
      </c>
      <c r="M46" s="46" t="s">
        <v>54</v>
      </c>
      <c r="N46" s="46" t="s">
        <v>56</v>
      </c>
      <c r="O46" s="46">
        <v>36.6</v>
      </c>
      <c r="P46" s="46">
        <v>0.09</v>
      </c>
      <c r="Q46" s="46">
        <v>1E-3</v>
      </c>
      <c r="R46" s="46">
        <v>1E-3</v>
      </c>
      <c r="S46" s="46">
        <v>0</v>
      </c>
      <c r="T46" s="47">
        <f>O46+(P46*9.16)+(Q46*228)+(R46*145)</f>
        <v>37.797400000000003</v>
      </c>
    </row>
    <row r="47" spans="1:20">
      <c r="A47" s="3"/>
      <c r="B47" s="48"/>
      <c r="C47" s="48"/>
      <c r="D47" s="48"/>
      <c r="E47" s="48"/>
      <c r="F47" s="48"/>
      <c r="G47" s="48"/>
      <c r="H47" s="48"/>
      <c r="I47" s="14">
        <f>SUM(I41:I46)</f>
        <v>2285.4655984402402</v>
      </c>
      <c r="J47" s="4"/>
      <c r="K47" s="4"/>
      <c r="L47" s="3"/>
      <c r="M47" s="48"/>
      <c r="N47" s="48"/>
      <c r="O47" s="48"/>
      <c r="P47" s="48"/>
      <c r="Q47" s="48"/>
      <c r="R47" s="48"/>
      <c r="S47" s="48"/>
      <c r="T47" s="14">
        <f>SUM(T41:T46)</f>
        <v>5889.6413984402398</v>
      </c>
    </row>
    <row r="49" spans="1:20">
      <c r="A49" s="58" t="s">
        <v>79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58" t="s">
        <v>80</v>
      </c>
      <c r="M49" s="41"/>
      <c r="N49" s="41"/>
      <c r="O49" s="41"/>
      <c r="P49" s="41"/>
      <c r="Q49" s="41"/>
      <c r="R49" s="41"/>
      <c r="S49" s="41"/>
      <c r="T49" s="41"/>
    </row>
    <row r="50" spans="1:20">
      <c r="A50" s="16" t="s">
        <v>83</v>
      </c>
      <c r="B50" s="22"/>
      <c r="C50" s="22"/>
      <c r="D50" s="22"/>
      <c r="E50" s="22"/>
      <c r="F50" s="22"/>
      <c r="G50" s="22"/>
      <c r="H50" s="22"/>
      <c r="I50" s="23"/>
      <c r="L50" s="16" t="s">
        <v>83</v>
      </c>
      <c r="M50" s="22"/>
      <c r="N50" s="22"/>
      <c r="O50" s="22"/>
      <c r="P50" s="22"/>
      <c r="Q50" s="22"/>
      <c r="R50" s="22"/>
      <c r="S50" s="22"/>
      <c r="T50" s="23"/>
    </row>
    <row r="51" spans="1:20">
      <c r="A51" s="24" t="s">
        <v>27</v>
      </c>
      <c r="B51" s="4" t="s">
        <v>58</v>
      </c>
      <c r="C51" s="4" t="s">
        <v>28</v>
      </c>
      <c r="D51" s="4" t="s">
        <v>29</v>
      </c>
      <c r="E51" s="4" t="s">
        <v>30</v>
      </c>
      <c r="F51" s="4" t="s">
        <v>31</v>
      </c>
      <c r="G51" s="4" t="s">
        <v>32</v>
      </c>
      <c r="H51" s="4" t="s">
        <v>33</v>
      </c>
      <c r="I51" s="25" t="s">
        <v>34</v>
      </c>
      <c r="L51" s="24" t="s">
        <v>27</v>
      </c>
      <c r="M51" s="4" t="s">
        <v>58</v>
      </c>
      <c r="N51" s="4" t="s">
        <v>28</v>
      </c>
      <c r="O51" s="4" t="s">
        <v>29</v>
      </c>
      <c r="P51" s="4" t="s">
        <v>30</v>
      </c>
      <c r="Q51" s="4" t="s">
        <v>31</v>
      </c>
      <c r="R51" s="4" t="s">
        <v>32</v>
      </c>
      <c r="S51" s="4" t="s">
        <v>33</v>
      </c>
      <c r="T51" s="25" t="s">
        <v>34</v>
      </c>
    </row>
    <row r="52" spans="1:20">
      <c r="A52" s="24" t="s">
        <v>52</v>
      </c>
      <c r="B52" s="4" t="s">
        <v>50</v>
      </c>
      <c r="C52" s="35" t="s">
        <v>51</v>
      </c>
      <c r="D52" s="35" t="s">
        <v>35</v>
      </c>
      <c r="E52" s="35" t="s">
        <v>35</v>
      </c>
      <c r="F52" s="35" t="s">
        <v>35</v>
      </c>
      <c r="G52" s="35" t="s">
        <v>35</v>
      </c>
      <c r="H52" s="35" t="s">
        <v>35</v>
      </c>
      <c r="I52" s="36" t="s">
        <v>35</v>
      </c>
      <c r="L52" s="24" t="s">
        <v>52</v>
      </c>
      <c r="M52" s="4" t="s">
        <v>50</v>
      </c>
      <c r="N52" s="35" t="s">
        <v>51</v>
      </c>
      <c r="O52" s="35" t="s">
        <v>35</v>
      </c>
      <c r="P52" s="35" t="s">
        <v>35</v>
      </c>
      <c r="Q52" s="35" t="s">
        <v>35</v>
      </c>
      <c r="R52" s="35" t="s">
        <v>35</v>
      </c>
      <c r="S52" s="35" t="s">
        <v>35</v>
      </c>
      <c r="T52" s="36" t="s">
        <v>35</v>
      </c>
    </row>
    <row r="53" spans="1:20">
      <c r="A53" s="24" t="s">
        <v>52</v>
      </c>
      <c r="B53" s="4" t="s">
        <v>50</v>
      </c>
      <c r="C53" s="4" t="s">
        <v>53</v>
      </c>
      <c r="D53" s="35" t="s">
        <v>35</v>
      </c>
      <c r="E53" s="35" t="s">
        <v>35</v>
      </c>
      <c r="F53" s="35" t="s">
        <v>35</v>
      </c>
      <c r="G53" s="35" t="s">
        <v>35</v>
      </c>
      <c r="H53" s="35" t="s">
        <v>35</v>
      </c>
      <c r="I53" s="25" t="s">
        <v>35</v>
      </c>
      <c r="L53" s="24" t="s">
        <v>52</v>
      </c>
      <c r="M53" s="4" t="s">
        <v>50</v>
      </c>
      <c r="N53" s="4" t="s">
        <v>53</v>
      </c>
      <c r="O53" s="35" t="s">
        <v>35</v>
      </c>
      <c r="P53" s="35" t="s">
        <v>35</v>
      </c>
      <c r="Q53" s="35" t="s">
        <v>35</v>
      </c>
      <c r="R53" s="35" t="s">
        <v>35</v>
      </c>
      <c r="S53" s="35" t="s">
        <v>35</v>
      </c>
      <c r="T53" s="25" t="s">
        <v>35</v>
      </c>
    </row>
    <row r="54" spans="1:20">
      <c r="A54" s="24" t="s">
        <v>45</v>
      </c>
      <c r="B54" s="35" t="s">
        <v>54</v>
      </c>
      <c r="C54" s="35" t="s">
        <v>103</v>
      </c>
      <c r="D54" s="35">
        <f>210*6*0.617</f>
        <v>777.42</v>
      </c>
      <c r="E54" s="35">
        <f>D54*1.33*0.001</f>
        <v>1.0339685999999999</v>
      </c>
      <c r="F54" s="35" t="s">
        <v>35</v>
      </c>
      <c r="G54" s="35" t="s">
        <v>35</v>
      </c>
      <c r="H54" s="35">
        <v>1.5</v>
      </c>
      <c r="I54" s="36">
        <f>(D54)+(E54*9.16)+(H54*210*0.7)</f>
        <v>1007.3911523759999</v>
      </c>
      <c r="L54" s="24" t="s">
        <v>45</v>
      </c>
      <c r="M54" s="35" t="s">
        <v>54</v>
      </c>
      <c r="N54" s="35" t="s">
        <v>103</v>
      </c>
      <c r="O54" s="35">
        <f>210*6*0.617</f>
        <v>777.42</v>
      </c>
      <c r="P54" s="35">
        <f>O54*1.33*0.001</f>
        <v>1.0339685999999999</v>
      </c>
      <c r="Q54" s="35" t="s">
        <v>35</v>
      </c>
      <c r="R54" s="35" t="s">
        <v>35</v>
      </c>
      <c r="S54" s="35">
        <v>1.5</v>
      </c>
      <c r="T54" s="36">
        <f>(O54)+(P54*9.16)+(S54*210*0.7)</f>
        <v>1007.3911523759999</v>
      </c>
    </row>
    <row r="55" spans="1:20">
      <c r="A55" s="24" t="s">
        <v>45</v>
      </c>
      <c r="B55" s="35" t="s">
        <v>54</v>
      </c>
      <c r="C55" s="35" t="s">
        <v>55</v>
      </c>
      <c r="D55" s="35">
        <f>D54*1.165</f>
        <v>905.6943</v>
      </c>
      <c r="E55" s="35">
        <f>E54*1.165</f>
        <v>1.2045734189999999</v>
      </c>
      <c r="F55" s="35" t="s">
        <v>35</v>
      </c>
      <c r="G55" s="35" t="s">
        <v>35</v>
      </c>
      <c r="H55" s="35" t="s">
        <v>35</v>
      </c>
      <c r="I55" s="36">
        <f>D55+(E55*9.16)</f>
        <v>916.72819251804003</v>
      </c>
      <c r="L55" s="24" t="s">
        <v>45</v>
      </c>
      <c r="M55" s="35" t="s">
        <v>54</v>
      </c>
      <c r="N55" s="35" t="s">
        <v>55</v>
      </c>
      <c r="O55" s="35">
        <f>O54*1.165</f>
        <v>905.6943</v>
      </c>
      <c r="P55" s="35">
        <f>P54*1.165</f>
        <v>1.2045734189999999</v>
      </c>
      <c r="Q55" s="35" t="s">
        <v>35</v>
      </c>
      <c r="R55" s="35" t="s">
        <v>35</v>
      </c>
      <c r="S55" s="35" t="s">
        <v>35</v>
      </c>
      <c r="T55" s="36">
        <f>O55+(P55*9.16)</f>
        <v>916.72819251804003</v>
      </c>
    </row>
    <row r="56" spans="1:20">
      <c r="A56" s="24" t="s">
        <v>45</v>
      </c>
      <c r="B56" s="35" t="s">
        <v>54</v>
      </c>
      <c r="C56" s="35" t="s">
        <v>78</v>
      </c>
      <c r="D56" s="35">
        <f>321*5</f>
        <v>1605</v>
      </c>
      <c r="E56" s="35">
        <v>10</v>
      </c>
      <c r="F56" s="35">
        <f>0.205*5</f>
        <v>1.0249999999999999</v>
      </c>
      <c r="G56" s="35">
        <f>0.228*5</f>
        <v>1.1400000000000001</v>
      </c>
      <c r="H56" s="35">
        <v>0</v>
      </c>
      <c r="I56" s="36">
        <f>D56+(E56*9.16)+(F56*136)+(G56*50)</f>
        <v>1893</v>
      </c>
      <c r="L56" s="24" t="s">
        <v>45</v>
      </c>
      <c r="M56" s="35" t="s">
        <v>54</v>
      </c>
      <c r="N56" s="35" t="s">
        <v>78</v>
      </c>
      <c r="O56" s="35">
        <f>321*5</f>
        <v>1605</v>
      </c>
      <c r="P56" s="35">
        <v>10</v>
      </c>
      <c r="Q56" s="35">
        <f>0.205*5</f>
        <v>1.0249999999999999</v>
      </c>
      <c r="R56" s="35">
        <f>0.228*5</f>
        <v>1.1400000000000001</v>
      </c>
      <c r="S56" s="35">
        <v>0</v>
      </c>
      <c r="T56" s="36">
        <f>O56+(P56*9.16)+(Q56*136)+(R56*50)</f>
        <v>1893</v>
      </c>
    </row>
    <row r="57" spans="1:20">
      <c r="A57" s="19" t="s">
        <v>52</v>
      </c>
      <c r="B57" s="46" t="s">
        <v>54</v>
      </c>
      <c r="C57" s="46" t="s">
        <v>56</v>
      </c>
      <c r="D57" s="46">
        <v>36.6</v>
      </c>
      <c r="E57" s="46">
        <v>0.09</v>
      </c>
      <c r="F57" s="46">
        <v>1E-3</v>
      </c>
      <c r="G57" s="46">
        <v>1E-3</v>
      </c>
      <c r="H57" s="46">
        <v>0</v>
      </c>
      <c r="I57" s="47">
        <f>D57+(E57*9.16)+(F57*136)+(G57*50)</f>
        <v>37.610399999999998</v>
      </c>
      <c r="L57" s="19" t="s">
        <v>52</v>
      </c>
      <c r="M57" s="46" t="s">
        <v>54</v>
      </c>
      <c r="N57" s="46" t="s">
        <v>56</v>
      </c>
      <c r="O57" s="46">
        <v>36.6</v>
      </c>
      <c r="P57" s="46">
        <v>0.09</v>
      </c>
      <c r="Q57" s="46">
        <v>1E-3</v>
      </c>
      <c r="R57" s="46">
        <v>1E-3</v>
      </c>
      <c r="S57" s="46">
        <v>0</v>
      </c>
      <c r="T57" s="47">
        <f>O57+(P57*9.16)+(Q57*136)+(R57*50)</f>
        <v>37.610399999999998</v>
      </c>
    </row>
    <row r="58" spans="1:20">
      <c r="A58" s="3"/>
      <c r="B58" s="48"/>
      <c r="C58" s="48"/>
      <c r="D58" s="48"/>
      <c r="E58" s="48"/>
      <c r="F58" s="48"/>
      <c r="G58" s="48"/>
      <c r="H58" s="48"/>
      <c r="I58" s="14">
        <f>SUM(I54:I57)</f>
        <v>3854.7297448940399</v>
      </c>
      <c r="L58" s="3"/>
      <c r="M58" s="48"/>
      <c r="N58" s="48"/>
      <c r="O58" s="48"/>
      <c r="P58" s="48"/>
      <c r="Q58" s="48"/>
      <c r="R58" s="48"/>
      <c r="S58" s="48"/>
      <c r="T58" s="14">
        <f>SUM(T54:T57)</f>
        <v>3854.7297448940399</v>
      </c>
    </row>
    <row r="61" spans="1:20">
      <c r="A61" s="59" t="s">
        <v>84</v>
      </c>
      <c r="B61" s="60" t="s">
        <v>12</v>
      </c>
      <c r="C61" s="60" t="s">
        <v>85</v>
      </c>
      <c r="D61" s="60" t="s">
        <v>86</v>
      </c>
      <c r="E61" s="60" t="s">
        <v>22</v>
      </c>
      <c r="F61" s="61"/>
    </row>
    <row r="62" spans="1:20">
      <c r="A62" s="64"/>
      <c r="B62" s="62"/>
      <c r="C62" s="62"/>
      <c r="D62" s="62"/>
      <c r="E62" s="62"/>
      <c r="F62" s="65"/>
    </row>
    <row r="63" spans="1:20">
      <c r="A63" s="64" t="s">
        <v>79</v>
      </c>
      <c r="B63" s="62">
        <f>I25</f>
        <v>399.16</v>
      </c>
      <c r="C63" s="69">
        <f>I35</f>
        <v>5206.7727433342798</v>
      </c>
      <c r="D63" s="69">
        <f>I47</f>
        <v>2285.4655984402402</v>
      </c>
      <c r="E63" s="62">
        <f>I58</f>
        <v>3854.7297448940399</v>
      </c>
      <c r="F63" s="89"/>
      <c r="G63" s="90"/>
    </row>
    <row r="64" spans="1:20">
      <c r="A64" s="66" t="s">
        <v>80</v>
      </c>
      <c r="B64" s="63">
        <f>I25</f>
        <v>399.16</v>
      </c>
      <c r="C64" s="85">
        <f>I35</f>
        <v>5206.7727433342798</v>
      </c>
      <c r="D64" s="63">
        <f>T47</f>
        <v>5889.6413984402398</v>
      </c>
      <c r="E64" s="63">
        <f>T58</f>
        <v>3854.7297448940399</v>
      </c>
      <c r="F64" s="91"/>
      <c r="G64" s="90"/>
    </row>
    <row r="65" spans="1:6">
      <c r="A65" s="68"/>
      <c r="B65" s="69"/>
      <c r="C65" s="69"/>
      <c r="D65" s="69"/>
      <c r="E65" s="69"/>
      <c r="F65" s="68"/>
    </row>
    <row r="66" spans="1:6">
      <c r="A66" s="59" t="s">
        <v>87</v>
      </c>
      <c r="B66" s="60" t="s">
        <v>12</v>
      </c>
      <c r="C66" s="60" t="s">
        <v>85</v>
      </c>
      <c r="D66" s="60" t="s">
        <v>86</v>
      </c>
      <c r="E66" s="60" t="s">
        <v>22</v>
      </c>
      <c r="F66" s="61" t="s">
        <v>88</v>
      </c>
    </row>
    <row r="67" spans="1:6">
      <c r="A67" s="64"/>
      <c r="B67" s="62"/>
      <c r="C67" s="62"/>
      <c r="D67" s="62"/>
      <c r="E67" s="62"/>
      <c r="F67" s="65"/>
    </row>
    <row r="68" spans="1:6" ht="21">
      <c r="A68" s="64" t="s">
        <v>79</v>
      </c>
      <c r="B68" s="62">
        <f>B63*2.77</f>
        <v>1105.6732000000002</v>
      </c>
      <c r="C68" s="62">
        <f>C63*10</f>
        <v>52067.727433342799</v>
      </c>
      <c r="D68" s="62">
        <f>D63</f>
        <v>2285.4655984402402</v>
      </c>
      <c r="E68" s="62">
        <f>E63*10</f>
        <v>38547.2974489404</v>
      </c>
      <c r="F68" s="70">
        <f>SUM(B68:E68)</f>
        <v>94006.163680723432</v>
      </c>
    </row>
    <row r="69" spans="1:6" ht="21">
      <c r="A69" s="66" t="s">
        <v>80</v>
      </c>
      <c r="B69" s="63">
        <f>B63*2.77</f>
        <v>1105.6732000000002</v>
      </c>
      <c r="C69" s="63">
        <f>C64*10</f>
        <v>52067.727433342799</v>
      </c>
      <c r="D69" s="63">
        <f>D64</f>
        <v>5889.6413984402398</v>
      </c>
      <c r="E69" s="63">
        <f>E64*10</f>
        <v>38547.2974489404</v>
      </c>
      <c r="F69" s="71">
        <f>SUM(B69:E69)</f>
        <v>97610.339480723429</v>
      </c>
    </row>
  </sheetData>
  <pageMargins left="0.7" right="0.7" top="0.75" bottom="0.75" header="0.3" footer="0.3"/>
  <ignoredErrors>
    <ignoredError sqref="T4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Scenario Overview</vt:lpstr>
      <vt:lpstr>Scenario 1</vt:lpstr>
      <vt:lpstr>Scenario 2</vt:lpstr>
      <vt:lpstr>Scenario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Avery Hill</dc:creator>
  <cp:lastModifiedBy>Avery Hill</cp:lastModifiedBy>
  <dcterms:created xsi:type="dcterms:W3CDTF">2020-12-01T18:46:00Z</dcterms:created>
  <dcterms:modified xsi:type="dcterms:W3CDTF">2020-12-02T01:53:35Z</dcterms:modified>
</cp:coreProperties>
</file>