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z008/Dropbox/CSIRO/02_F420 Project/"/>
    </mc:Choice>
  </mc:AlternateContent>
  <xr:revisionPtr revIDLastSave="0" documentId="13_ncr:1_{5B9C600C-FD9E-CA49-B687-ED61609D0903}" xr6:coauthVersionLast="36" xr6:coauthVersionMax="36" xr10:uidLastSave="{00000000-0000-0000-0000-000000000000}"/>
  <bookViews>
    <workbookView xWindow="0" yWindow="460" windowWidth="28800" windowHeight="15940" xr2:uid="{A11210D8-9FC8-1640-AACC-706F5EACE26F}"/>
  </bookViews>
  <sheets>
    <sheet name="deltaG of formations" sheetId="1" r:id="rId1"/>
    <sheet name="References and not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V14" i="1"/>
  <c r="Q28" i="1"/>
  <c r="R28" i="1"/>
  <c r="T28" i="1"/>
  <c r="S28" i="1"/>
  <c r="V28" i="1"/>
  <c r="T27" i="1"/>
  <c r="S27" i="1"/>
  <c r="R27" i="1"/>
  <c r="Q27" i="1"/>
  <c r="T35" i="1"/>
  <c r="S35" i="1"/>
  <c r="R35" i="1"/>
  <c r="Q35" i="1"/>
  <c r="V35" i="1" s="1"/>
  <c r="T33" i="1"/>
  <c r="S33" i="1"/>
  <c r="V33" i="1" s="1"/>
  <c r="R33" i="1"/>
  <c r="Q33" i="1"/>
  <c r="T32" i="1"/>
  <c r="S32" i="1"/>
  <c r="R32" i="1"/>
  <c r="Q32" i="1"/>
  <c r="U32" i="1" s="1"/>
  <c r="T31" i="1"/>
  <c r="S31" i="1"/>
  <c r="R31" i="1"/>
  <c r="Q31" i="1"/>
  <c r="V31" i="1" s="1"/>
  <c r="V30" i="1"/>
  <c r="U30" i="1"/>
  <c r="T30" i="1"/>
  <c r="S30" i="1"/>
  <c r="R30" i="1"/>
  <c r="Q30" i="1"/>
  <c r="T29" i="1"/>
  <c r="S29" i="1"/>
  <c r="V29" i="1" s="1"/>
  <c r="R29" i="1"/>
  <c r="Q29" i="1"/>
  <c r="V26" i="1"/>
  <c r="U26" i="1"/>
  <c r="T26" i="1"/>
  <c r="S26" i="1"/>
  <c r="S34" i="1" s="1"/>
  <c r="R26" i="1"/>
  <c r="Q26" i="1"/>
  <c r="Q34" i="1" s="1"/>
  <c r="Q20" i="1"/>
  <c r="T14" i="1"/>
  <c r="R14" i="1"/>
  <c r="S14" i="1"/>
  <c r="Q14" i="1"/>
  <c r="T13" i="1"/>
  <c r="V13" i="1" s="1"/>
  <c r="R13" i="1"/>
  <c r="S13" i="1"/>
  <c r="Q13" i="1"/>
  <c r="M4" i="1"/>
  <c r="I4" i="1"/>
  <c r="H4" i="1"/>
  <c r="U21" i="1"/>
  <c r="V21" i="1"/>
  <c r="T21" i="1"/>
  <c r="S21" i="1"/>
  <c r="R21" i="1"/>
  <c r="Q21" i="1"/>
  <c r="V15" i="1"/>
  <c r="V16" i="1"/>
  <c r="V17" i="1"/>
  <c r="V18" i="1"/>
  <c r="V19" i="1"/>
  <c r="V12" i="1"/>
  <c r="U13" i="1"/>
  <c r="U14" i="1"/>
  <c r="U15" i="1"/>
  <c r="U16" i="1"/>
  <c r="U17" i="1"/>
  <c r="U18" i="1"/>
  <c r="U19" i="1"/>
  <c r="U12" i="1"/>
  <c r="T19" i="1"/>
  <c r="S18" i="1"/>
  <c r="R18" i="1"/>
  <c r="T18" i="1"/>
  <c r="T17" i="1"/>
  <c r="T16" i="1"/>
  <c r="T15" i="1"/>
  <c r="T12" i="1"/>
  <c r="S20" i="1"/>
  <c r="S19" i="1"/>
  <c r="Q18" i="1"/>
  <c r="S17" i="1"/>
  <c r="S16" i="1"/>
  <c r="S15" i="1"/>
  <c r="S12" i="1"/>
  <c r="R19" i="1"/>
  <c r="R17" i="1"/>
  <c r="R16" i="1"/>
  <c r="R15" i="1"/>
  <c r="R12" i="1"/>
  <c r="Q19" i="1"/>
  <c r="Q17" i="1"/>
  <c r="Q16" i="1"/>
  <c r="Q15" i="1"/>
  <c r="H32" i="1"/>
  <c r="I32" i="1" s="1"/>
  <c r="M18" i="1"/>
  <c r="M20" i="1"/>
  <c r="M22" i="1"/>
  <c r="M24" i="1"/>
  <c r="T34" i="1" l="1"/>
  <c r="R34" i="1"/>
  <c r="V27" i="1"/>
  <c r="U29" i="1"/>
  <c r="U33" i="1"/>
  <c r="U28" i="1"/>
  <c r="V32" i="1"/>
  <c r="U27" i="1"/>
  <c r="U31" i="1"/>
  <c r="U35" i="1"/>
  <c r="T20" i="1"/>
  <c r="R20" i="1"/>
  <c r="M32" i="1"/>
  <c r="H8" i="1"/>
  <c r="H5" i="1"/>
  <c r="H16" i="1"/>
  <c r="H14" i="1"/>
  <c r="H12" i="1"/>
  <c r="H10" i="1"/>
  <c r="H34" i="1"/>
  <c r="H25" i="1"/>
  <c r="H26" i="1"/>
  <c r="H38" i="1"/>
  <c r="H36" i="1"/>
  <c r="H31" i="1"/>
  <c r="H29" i="1"/>
  <c r="H27" i="1"/>
  <c r="H23" i="1"/>
  <c r="H21" i="1"/>
  <c r="H19" i="1"/>
  <c r="H17" i="1"/>
  <c r="H15" i="1"/>
  <c r="H13" i="1"/>
  <c r="H11" i="1"/>
  <c r="H9" i="1"/>
  <c r="H7" i="1"/>
  <c r="H6" i="1"/>
  <c r="H3" i="1"/>
  <c r="H2" i="1"/>
  <c r="H35" i="1"/>
  <c r="U34" i="1" l="1"/>
  <c r="V34" i="1"/>
  <c r="U20" i="1"/>
  <c r="V20" i="1"/>
  <c r="I6" i="1"/>
  <c r="M6" i="1"/>
  <c r="I25" i="1"/>
  <c r="M25" i="1"/>
  <c r="I23" i="1"/>
  <c r="M23" i="1"/>
  <c r="I9" i="1"/>
  <c r="M9" i="1"/>
  <c r="I10" i="1"/>
  <c r="M10" i="1"/>
  <c r="I29" i="1"/>
  <c r="M29" i="1"/>
  <c r="I13" i="1"/>
  <c r="M13" i="1"/>
  <c r="I35" i="1"/>
  <c r="M35" i="1"/>
  <c r="I36" i="1"/>
  <c r="M36" i="1"/>
  <c r="I16" i="1"/>
  <c r="M16" i="1"/>
  <c r="I2" i="1"/>
  <c r="M2" i="1"/>
  <c r="I17" i="1"/>
  <c r="M17" i="1"/>
  <c r="I38" i="1"/>
  <c r="M38" i="1"/>
  <c r="I5" i="1"/>
  <c r="M5" i="1"/>
  <c r="I21" i="1"/>
  <c r="M21" i="1"/>
  <c r="I7" i="1"/>
  <c r="M7" i="1"/>
  <c r="I34" i="1"/>
  <c r="M34" i="1"/>
  <c r="I27" i="1"/>
  <c r="M27" i="1"/>
  <c r="I11" i="1"/>
  <c r="M11" i="1"/>
  <c r="I12" i="1"/>
  <c r="M12" i="1"/>
  <c r="I31" i="1"/>
  <c r="M31" i="1"/>
  <c r="I14" i="1"/>
  <c r="M14" i="1"/>
  <c r="I15" i="1"/>
  <c r="M15" i="1"/>
  <c r="I3" i="1"/>
  <c r="M3" i="1"/>
  <c r="I19" i="1"/>
  <c r="M19" i="1"/>
  <c r="I26" i="1"/>
  <c r="M26" i="1"/>
  <c r="I8" i="1"/>
  <c r="M8" i="1"/>
  <c r="H37" i="1"/>
  <c r="H30" i="1"/>
  <c r="H33" i="1"/>
  <c r="H39" i="1"/>
  <c r="H28" i="1"/>
  <c r="I30" i="1" l="1"/>
  <c r="M30" i="1"/>
  <c r="I37" i="1"/>
  <c r="M37" i="1"/>
  <c r="I28" i="1"/>
  <c r="M28" i="1"/>
  <c r="I39" i="1"/>
  <c r="M39" i="1"/>
  <c r="I33" i="1"/>
  <c r="M33" i="1"/>
</calcChain>
</file>

<file path=xl/sharedStrings.xml><?xml version="1.0" encoding="utf-8"?>
<sst xmlns="http://schemas.openxmlformats.org/spreadsheetml/2006/main" count="233" uniqueCount="151">
  <si>
    <t>Abbreviation</t>
  </si>
  <si>
    <t>Name</t>
  </si>
  <si>
    <t>Formula (charged)</t>
  </si>
  <si>
    <t>Charge</t>
  </si>
  <si>
    <t># of protons</t>
  </si>
  <si>
    <t>pH</t>
  </si>
  <si>
    <t>I</t>
  </si>
  <si>
    <t>M</t>
  </si>
  <si>
    <t>T</t>
  </si>
  <si>
    <t>K</t>
  </si>
  <si>
    <t>B</t>
  </si>
  <si>
    <t>(L/mol)^0.5</t>
  </si>
  <si>
    <t>R</t>
  </si>
  <si>
    <t>J/(mol*K)</t>
  </si>
  <si>
    <t>L-Glutamate</t>
  </si>
  <si>
    <t>C5H8NO4</t>
  </si>
  <si>
    <t>L-Tyrosine</t>
  </si>
  <si>
    <t>C9H11NO3</t>
  </si>
  <si>
    <t>L-Methionine</t>
  </si>
  <si>
    <t>C5H11NO2S</t>
  </si>
  <si>
    <t>gtp</t>
  </si>
  <si>
    <t>ppi</t>
  </si>
  <si>
    <t>Diphosphate</t>
  </si>
  <si>
    <t>pep</t>
  </si>
  <si>
    <t>Phosphoenolpyruvate</t>
  </si>
  <si>
    <t>C10H13N5O3</t>
  </si>
  <si>
    <t>4-(1-D-Ribitylamino)-5-aminouracil</t>
  </si>
  <si>
    <t>C9H16N4O6</t>
  </si>
  <si>
    <t>lactyl-(2)-diphospho-(5')-guanosine</t>
  </si>
  <si>
    <t>C13H16N5O13P2</t>
  </si>
  <si>
    <t>7,8-didemethyl-8-hydroxy-5-deazariboflavin</t>
  </si>
  <si>
    <t>C16H16N3O7</t>
  </si>
  <si>
    <t>f420-0</t>
  </si>
  <si>
    <t>coenzyme ferredoxin 420-0</t>
  </si>
  <si>
    <t>C19H19N3O12P</t>
  </si>
  <si>
    <t>f420-1</t>
  </si>
  <si>
    <t>coenzyme ferredoxin 420-1</t>
  </si>
  <si>
    <t>C24H25N4O15P</t>
  </si>
  <si>
    <t>f420-2</t>
  </si>
  <si>
    <t>C29H31N5O18P</t>
  </si>
  <si>
    <t>f420-3</t>
  </si>
  <si>
    <t>coenzyme ferredoxin 420-3</t>
  </si>
  <si>
    <t>C34H37N6O21P</t>
  </si>
  <si>
    <t>f420-4</t>
  </si>
  <si>
    <t>coenzyme ferredoxin 420-4</t>
  </si>
  <si>
    <t>C39H43N7O24P</t>
  </si>
  <si>
    <t>f420-5</t>
  </si>
  <si>
    <t>coenzyme ferredoxin 420-5</t>
  </si>
  <si>
    <t>C44H49N8O27P</t>
  </si>
  <si>
    <t>f420-6</t>
  </si>
  <si>
    <t>coenzyme ferredoxin 420-6</t>
  </si>
  <si>
    <t>C49H55N9O30P</t>
  </si>
  <si>
    <t>f420-7</t>
  </si>
  <si>
    <t>coenzyme ferredoxin 420-7</t>
  </si>
  <si>
    <t>C54H61N10O33P</t>
  </si>
  <si>
    <t>fmn</t>
  </si>
  <si>
    <t>gdp</t>
  </si>
  <si>
    <t>gmp</t>
  </si>
  <si>
    <t>h</t>
  </si>
  <si>
    <t>H</t>
  </si>
  <si>
    <t>nh4</t>
  </si>
  <si>
    <t>Ammonium</t>
  </si>
  <si>
    <t>H4N</t>
  </si>
  <si>
    <t>pi</t>
  </si>
  <si>
    <t>Phosphate</t>
  </si>
  <si>
    <t>HO4P</t>
  </si>
  <si>
    <t>S-Adenosyl-L-methionine</t>
  </si>
  <si>
    <t>C15H23N6O5S</t>
  </si>
  <si>
    <t>Ref</t>
  </si>
  <si>
    <t>References</t>
  </si>
  <si>
    <t>std. Gibbs free energy (KJ/mole)</t>
  </si>
  <si>
    <t>C10H13N5O14P3</t>
  </si>
  <si>
    <t>H2O7P2</t>
  </si>
  <si>
    <t>C3H3O6P</t>
  </si>
  <si>
    <t>std. Gibbs free energy (Kcal/mole)</t>
  </si>
  <si>
    <t>Nazem-Bokaee, H., Gopalakrishnan, S., Ferry, J. G., Wood, T. K., and Maranas, C. D. (2016). Assessing methanotrophy and carbon fixation for biofuel production by Methanosarcina acetivorans. Microbial Cell Factories 15, 1–13. doi: 10.1186/s12934-015-0404-4</t>
  </si>
  <si>
    <t>3, 4</t>
  </si>
  <si>
    <t>http://modelseed.org/biochem/compounds</t>
  </si>
  <si>
    <t>5AD</t>
  </si>
  <si>
    <t>5ARPD</t>
  </si>
  <si>
    <t>5`-Deoxyadenosine</t>
  </si>
  <si>
    <t>C17H20N4O9P</t>
  </si>
  <si>
    <t>fmnh2</t>
  </si>
  <si>
    <t>C17H22N4O9P</t>
  </si>
  <si>
    <t>C10H13N5O11P2</t>
  </si>
  <si>
    <t>C10H13N5O8P</t>
  </si>
  <si>
    <t>C29H32N5O18P</t>
  </si>
  <si>
    <t>df420-0</t>
  </si>
  <si>
    <t>dehydro coenzyme ferredoxin 420-0</t>
  </si>
  <si>
    <t>C19H21N3O12P</t>
  </si>
  <si>
    <t>?</t>
  </si>
  <si>
    <t>f0</t>
  </si>
  <si>
    <t>Formula (used in the F420 biosynthesis pathway)</t>
  </si>
  <si>
    <t>C10H12N5O14P3</t>
  </si>
  <si>
    <t>HO7P2</t>
  </si>
  <si>
    <t>C3H2O6P</t>
  </si>
  <si>
    <t>C13H18N5O13P2</t>
  </si>
  <si>
    <t>C16H17N3O7</t>
  </si>
  <si>
    <t>C24H28N4O15P</t>
  </si>
  <si>
    <t>C29H34N5O18P</t>
  </si>
  <si>
    <t>C34H40N6O21P</t>
  </si>
  <si>
    <t>C39H46N7O24P</t>
  </si>
  <si>
    <t>C44H52N8O27P</t>
  </si>
  <si>
    <t>C17H19N4O9P</t>
  </si>
  <si>
    <t>C17H21N4O9P</t>
  </si>
  <si>
    <t>C10H12N5O11P2</t>
  </si>
  <si>
    <t>C10H12N5O8P</t>
  </si>
  <si>
    <t>ImiAce</t>
  </si>
  <si>
    <t>2-iminoacetate, Dehydroglycine</t>
  </si>
  <si>
    <t>C2H2N1O2</t>
  </si>
  <si>
    <t>5ARPD4HB</t>
  </si>
  <si>
    <t>5-amino-5-(4-hydroxybenzyl)-6-(D-ribitylimino)-5,6-dihydrouracil</t>
  </si>
  <si>
    <t>C16H22N4O7</t>
  </si>
  <si>
    <t>eppg</t>
  </si>
  <si>
    <t>Notes</t>
  </si>
  <si>
    <r>
      <t xml:space="preserve">Jankowski MD, Henry CS, Broadbelt LJ, Hatzimanikatis V: Group contribution method for thermodynamic analysis of complex metabolic networks. </t>
    </r>
    <r>
      <rPr>
        <i/>
        <sz val="12"/>
        <color theme="1"/>
        <rFont val="Arial"/>
        <family val="2"/>
      </rPr>
      <t xml:space="preserve">Biophys J </t>
    </r>
    <r>
      <rPr>
        <sz val="12"/>
        <color theme="1"/>
        <rFont val="Arial"/>
        <family val="2"/>
      </rPr>
      <t>2008, 95:1487-1499.</t>
    </r>
  </si>
  <si>
    <r>
      <t xml:space="preserve">Alberty RA: Calculation of standard transformed Gibbs energies and standard transformed enthalpies of biochemical reactants. </t>
    </r>
    <r>
      <rPr>
        <i/>
        <sz val="12"/>
        <color theme="1"/>
        <rFont val="Arial"/>
        <family val="2"/>
      </rPr>
      <t xml:space="preserve">Arch Biochem Biophys </t>
    </r>
    <r>
      <rPr>
        <sz val="12"/>
        <color theme="1"/>
        <rFont val="Arial"/>
        <family val="2"/>
      </rPr>
      <t>1998, 353:116-130.</t>
    </r>
  </si>
  <si>
    <t>coenzyme ferredoxin 420-2</t>
  </si>
  <si>
    <t>Flavin mononucleotide (oxidized)</t>
  </si>
  <si>
    <t>Flavin mononucleotide (reduced)</t>
  </si>
  <si>
    <t>Guanosine diphosphate</t>
  </si>
  <si>
    <t>Guanosine monophosphate</t>
  </si>
  <si>
    <t>Guanosine triphosphate</t>
  </si>
  <si>
    <t>proton</t>
  </si>
  <si>
    <t>SAMe</t>
  </si>
  <si>
    <t>glu</t>
  </si>
  <si>
    <t>met</t>
  </si>
  <si>
    <t>tyr</t>
  </si>
  <si>
    <t>The ΔfG of lactyl-2-diphospho-5'-guanosine (LPPG) was used for calculating transformed ΔfG of EPPG</t>
  </si>
  <si>
    <t>std. transformed Gibbs free energy (KJ/mole) [ref 2]</t>
  </si>
  <si>
    <t>Parameters</t>
  </si>
  <si>
    <t>Units</t>
  </si>
  <si>
    <t>Values</t>
  </si>
  <si>
    <t>CofC</t>
  </si>
  <si>
    <t>CofG</t>
  </si>
  <si>
    <t>CofH</t>
  </si>
  <si>
    <t>CofD</t>
  </si>
  <si>
    <t>CofX</t>
  </si>
  <si>
    <t>CofE 1</t>
  </si>
  <si>
    <t>CofE 2</t>
  </si>
  <si>
    <t>CofE 3</t>
  </si>
  <si>
    <t>whole pathway</t>
  </si>
  <si>
    <t>mean</t>
  </si>
  <si>
    <t>std. dev.</t>
  </si>
  <si>
    <t>set 1</t>
  </si>
  <si>
    <t>set 2</t>
  </si>
  <si>
    <t>set 3</t>
  </si>
  <si>
    <t>set 4</t>
  </si>
  <si>
    <t>https://metacyc.org/compound</t>
  </si>
  <si>
    <t>deltaG of the F420 biosynthesis pathway including 5ARPD4HB</t>
  </si>
  <si>
    <t>deltaG of the F420 biosynthesis pathway excluding 5ARPD4HB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</si>
</sst>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0" borderId="0" xfId="1" applyFont="1" applyFill="1" applyAlignment="1"/>
    <xf numFmtId="0" fontId="2" fillId="0" borderId="0" xfId="1" applyFont="1" applyFill="1"/>
    <xf numFmtId="2" fontId="2" fillId="0" borderId="0" xfId="1" applyNumberFormat="1" applyFont="1" applyFill="1" applyAlignment="1">
      <alignment horizontal="right"/>
    </xf>
    <xf numFmtId="2" fontId="2" fillId="2" borderId="0" xfId="1" applyNumberFormat="1" applyFont="1" applyFill="1" applyAlignment="1">
      <alignment horizontal="right"/>
    </xf>
    <xf numFmtId="2" fontId="4" fillId="0" borderId="0" xfId="1" applyNumberFormat="1" applyFont="1" applyFill="1" applyAlignment="1">
      <alignment horizontal="right"/>
    </xf>
    <xf numFmtId="0" fontId="4" fillId="0" borderId="0" xfId="1" applyFont="1" applyFill="1"/>
    <xf numFmtId="0" fontId="5" fillId="0" borderId="0" xfId="1" applyFont="1" applyFill="1" applyAlignment="1">
      <alignment horizontal="left" wrapText="1"/>
    </xf>
    <xf numFmtId="0" fontId="6" fillId="0" borderId="0" xfId="2" applyFont="1" applyFill="1"/>
    <xf numFmtId="0" fontId="5" fillId="0" borderId="0" xfId="1" applyFont="1" applyFill="1" applyAlignment="1"/>
    <xf numFmtId="0" fontId="4" fillId="0" borderId="0" xfId="0" applyFont="1"/>
    <xf numFmtId="2" fontId="2" fillId="3" borderId="0" xfId="1" applyNumberFormat="1" applyFont="1" applyFill="1" applyAlignment="1">
      <alignment horizontal="right"/>
    </xf>
    <xf numFmtId="0" fontId="5" fillId="0" borderId="0" xfId="0" applyFont="1" applyFill="1" applyAlignment="1"/>
    <xf numFmtId="0" fontId="5" fillId="2" borderId="0" xfId="1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3" borderId="0" xfId="1" applyFont="1" applyFill="1" applyAlignment="1">
      <alignment horizontal="left" wrapText="1"/>
    </xf>
    <xf numFmtId="0" fontId="2" fillId="0" borderId="0" xfId="0" applyFont="1"/>
    <xf numFmtId="0" fontId="2" fillId="0" borderId="0" xfId="0" applyFont="1" applyFill="1"/>
    <xf numFmtId="2" fontId="2" fillId="0" borderId="0" xfId="1" applyNumberFormat="1" applyFont="1" applyFill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2" fillId="0" borderId="0" xfId="1" applyFont="1" applyFill="1" applyBorder="1"/>
    <xf numFmtId="0" fontId="2" fillId="0" borderId="5" xfId="1" applyFont="1" applyFill="1" applyBorder="1"/>
    <xf numFmtId="2" fontId="2" fillId="0" borderId="0" xfId="1" applyNumberFormat="1" applyFont="1" applyFill="1" applyBorder="1"/>
    <xf numFmtId="2" fontId="2" fillId="4" borderId="0" xfId="1" applyNumberFormat="1" applyFont="1" applyFill="1" applyBorder="1"/>
    <xf numFmtId="0" fontId="2" fillId="4" borderId="5" xfId="1" applyFont="1" applyFill="1" applyBorder="1"/>
    <xf numFmtId="0" fontId="2" fillId="0" borderId="6" xfId="1" applyFont="1" applyFill="1" applyBorder="1"/>
    <xf numFmtId="0" fontId="2" fillId="0" borderId="7" xfId="1" applyFont="1" applyFill="1" applyBorder="1"/>
    <xf numFmtId="2" fontId="2" fillId="4" borderId="7" xfId="1" applyNumberFormat="1" applyFont="1" applyFill="1" applyBorder="1"/>
    <xf numFmtId="0" fontId="2" fillId="4" borderId="8" xfId="1" applyFont="1" applyFill="1" applyBorder="1"/>
    <xf numFmtId="0" fontId="5" fillId="0" borderId="1" xfId="1" applyFont="1" applyFill="1" applyBorder="1"/>
  </cellXfs>
  <cellStyles count="3">
    <cellStyle name="Normal" xfId="0" builtinId="0"/>
    <cellStyle name="Normal 2" xfId="1" xr:uid="{204ADD49-4F8B-6449-B5EA-9BE2CDCD7873}"/>
    <cellStyle name="Normal 2 2" xfId="2" xr:uid="{8CBBADE9-A95F-9D41-8A8F-E95646065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E05B-FE7F-2A4B-A955-219C17FBCB44}">
  <dimension ref="A1:W39"/>
  <sheetViews>
    <sheetView tabSelected="1" zoomScale="120" zoomScaleNormal="12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O20" sqref="O20"/>
    </sheetView>
  </sheetViews>
  <sheetFormatPr baseColWidth="10" defaultRowHeight="16" x14ac:dyDescent="0.2"/>
  <cols>
    <col min="1" max="1" width="13.33203125" style="16" bestFit="1" customWidth="1"/>
    <col min="2" max="2" width="27" style="16" customWidth="1"/>
    <col min="3" max="3" width="18.83203125" style="16" bestFit="1" customWidth="1"/>
    <col min="4" max="4" width="8.1640625" style="16" bestFit="1" customWidth="1"/>
    <col min="5" max="5" width="12.6640625" style="16" customWidth="1"/>
    <col min="6" max="6" width="12" style="16" customWidth="1"/>
    <col min="7" max="7" width="4.5" style="16" bestFit="1" customWidth="1"/>
    <col min="8" max="8" width="10.6640625" style="16" bestFit="1" customWidth="1"/>
    <col min="9" max="9" width="17.1640625" style="16" customWidth="1"/>
    <col min="10" max="10" width="18" style="17" bestFit="1" customWidth="1"/>
    <col min="11" max="11" width="8.1640625" style="17" bestFit="1" customWidth="1"/>
    <col min="12" max="12" width="12.6640625" style="17" bestFit="1" customWidth="1"/>
    <col min="13" max="13" width="16.83203125" style="16" customWidth="1"/>
    <col min="14" max="14" width="10.83203125" style="16"/>
    <col min="15" max="15" width="11.6640625" style="16" bestFit="1" customWidth="1"/>
    <col min="16" max="16" width="13.83203125" style="16" customWidth="1"/>
    <col min="17" max="16384" width="10.83203125" style="16"/>
  </cols>
  <sheetData>
    <row r="1" spans="1:23" s="1" customFormat="1" ht="68" customHeight="1" x14ac:dyDescent="0.2">
      <c r="A1" s="9" t="s">
        <v>0</v>
      </c>
      <c r="B1" s="9" t="s">
        <v>1</v>
      </c>
      <c r="C1" s="12" t="s">
        <v>2</v>
      </c>
      <c r="D1" s="9" t="s">
        <v>3</v>
      </c>
      <c r="E1" s="9" t="s">
        <v>4</v>
      </c>
      <c r="F1" s="7" t="s">
        <v>74</v>
      </c>
      <c r="G1" s="9" t="s">
        <v>68</v>
      </c>
      <c r="H1" s="7" t="s">
        <v>70</v>
      </c>
      <c r="I1" s="13" t="s">
        <v>129</v>
      </c>
      <c r="J1" s="14" t="s">
        <v>92</v>
      </c>
      <c r="K1" s="9" t="s">
        <v>3</v>
      </c>
      <c r="L1" s="9" t="s">
        <v>4</v>
      </c>
      <c r="M1" s="15" t="s">
        <v>129</v>
      </c>
      <c r="O1" s="9" t="s">
        <v>130</v>
      </c>
      <c r="P1" s="9" t="s">
        <v>132</v>
      </c>
      <c r="Q1" s="9" t="s">
        <v>131</v>
      </c>
    </row>
    <row r="2" spans="1:23" s="2" customFormat="1" x14ac:dyDescent="0.2">
      <c r="A2" s="2" t="s">
        <v>78</v>
      </c>
      <c r="B2" s="2" t="s">
        <v>80</v>
      </c>
      <c r="C2" s="2" t="s">
        <v>25</v>
      </c>
      <c r="D2" s="2">
        <v>0</v>
      </c>
      <c r="E2" s="2">
        <v>13</v>
      </c>
      <c r="F2" s="3">
        <v>-5.51</v>
      </c>
      <c r="G2" s="2" t="s">
        <v>76</v>
      </c>
      <c r="H2" s="3">
        <f>F2*4.184</f>
        <v>-23.053840000000001</v>
      </c>
      <c r="I2" s="4">
        <f>H2-2.91482*D2^2*$P$3^0.5/(1+$P$5*$P$3^0.5)-E2*(-2.91482*$P$3^0.5/(1+$P$5*$P$3^0.5)+$P$6*($P$4/1000)*LN(10^-$P$2))</f>
        <v>506.90372370252788</v>
      </c>
      <c r="J2" s="2" t="s">
        <v>25</v>
      </c>
      <c r="K2" s="2">
        <v>0</v>
      </c>
      <c r="L2" s="2">
        <v>13</v>
      </c>
      <c r="M2" s="11">
        <f>H2-2.91482*K2^2*$P$3^0.5/(1+$P$5*$P$3^0.5)-L2*(-2.91482*$P$3^0.5/(1+$P$5*$P$3^0.5)+$P$6*($P$4/1000)*LN(10^-$P$2))</f>
        <v>506.90372370252788</v>
      </c>
      <c r="O2" s="2" t="s">
        <v>5</v>
      </c>
      <c r="P2" s="2">
        <v>7</v>
      </c>
    </row>
    <row r="3" spans="1:23" s="2" customFormat="1" x14ac:dyDescent="0.2">
      <c r="A3" s="2" t="s">
        <v>79</v>
      </c>
      <c r="B3" s="2" t="s">
        <v>26</v>
      </c>
      <c r="C3" s="2" t="s">
        <v>27</v>
      </c>
      <c r="D3" s="2">
        <v>0</v>
      </c>
      <c r="E3" s="2">
        <v>16</v>
      </c>
      <c r="F3" s="3">
        <v>-189.57</v>
      </c>
      <c r="G3" s="2" t="s">
        <v>76</v>
      </c>
      <c r="H3" s="3">
        <f>F3*4.184</f>
        <v>-793.16088000000002</v>
      </c>
      <c r="I3" s="4">
        <f>H3-2.91482*D3^2*$P$3^0.5/(1+$P$5*$P$3^0.5)-E3*(-2.91482*$P$3^0.5/(1+$P$5*$P$3^0.5)+$P$6*($P$4/1000)*LN(10^-$P$2))</f>
        <v>-140.90541698150423</v>
      </c>
      <c r="J3" s="2" t="s">
        <v>27</v>
      </c>
      <c r="K3" s="2">
        <v>0</v>
      </c>
      <c r="L3" s="2">
        <v>16</v>
      </c>
      <c r="M3" s="11">
        <f>H3-2.91482*K3^2*$P$3^0.5/(1+$P$5*$P$3^0.5)-L3*(-2.91482*$P$3^0.5/(1+$P$5*$P$3^0.5)+$P$6*($P$4/1000)*LN(10^-$P$2))</f>
        <v>-140.90541698150423</v>
      </c>
      <c r="O3" s="2" t="s">
        <v>6</v>
      </c>
      <c r="P3" s="2">
        <v>0.25</v>
      </c>
      <c r="Q3" s="2" t="s">
        <v>7</v>
      </c>
    </row>
    <row r="4" spans="1:23" s="2" customFormat="1" x14ac:dyDescent="0.2">
      <c r="A4" s="16" t="s">
        <v>110</v>
      </c>
      <c r="B4" s="16" t="s">
        <v>111</v>
      </c>
      <c r="C4" s="16" t="s">
        <v>112</v>
      </c>
      <c r="D4" s="16">
        <v>0</v>
      </c>
      <c r="E4" s="16">
        <v>22</v>
      </c>
      <c r="F4" s="16">
        <v>16.649999999999999</v>
      </c>
      <c r="G4" s="16">
        <v>5</v>
      </c>
      <c r="H4" s="3">
        <f>F4*4.184</f>
        <v>69.663600000000002</v>
      </c>
      <c r="I4" s="4">
        <f>H4-2.91482*D4^2*$P$3^0.5/(1+$P$5*$P$3^0.5)-E4*(-2.91482*$P$3^0.5/(1+$P$5*$P$3^0.5)+$P$6*($P$4/1000)*LN(10^-$P$2))</f>
        <v>966.51486165043173</v>
      </c>
      <c r="J4" s="16" t="s">
        <v>112</v>
      </c>
      <c r="K4" s="16">
        <v>0</v>
      </c>
      <c r="L4" s="16">
        <v>22</v>
      </c>
      <c r="M4" s="11">
        <f>H4-2.91482*K4^2*$P$3^0.5/(1+$P$5*$P$3^0.5)-L4*(-2.91482*$P$3^0.5/(1+$P$5*$P$3^0.5)+$P$6*($P$4/1000)*LN(10^-$P$2))</f>
        <v>966.51486165043173</v>
      </c>
      <c r="O4" s="2" t="s">
        <v>8</v>
      </c>
      <c r="P4" s="2">
        <v>298.14999999999998</v>
      </c>
      <c r="Q4" s="2" t="s">
        <v>9</v>
      </c>
    </row>
    <row r="5" spans="1:23" s="2" customFormat="1" x14ac:dyDescent="0.2">
      <c r="A5" s="2" t="s">
        <v>87</v>
      </c>
      <c r="B5" s="2" t="s">
        <v>88</v>
      </c>
      <c r="C5" s="2" t="s">
        <v>89</v>
      </c>
      <c r="D5" s="2">
        <v>-3</v>
      </c>
      <c r="E5" s="2">
        <v>21</v>
      </c>
      <c r="F5" s="3">
        <v>-425.46</v>
      </c>
      <c r="G5" s="2">
        <v>3</v>
      </c>
      <c r="H5" s="3">
        <f>F5*4.184</f>
        <v>-1780.12464</v>
      </c>
      <c r="I5" s="4">
        <f>H5-2.91482*D5^2*$P$3^0.5/(1+$P$5*$P$3^0.5)-E5*(-2.91482*$P$3^0.5/(1+$P$5*$P$3^0.5)+$P$6*($P$4/1000)*LN(10^-$P$2))</f>
        <v>-931.32639478822421</v>
      </c>
      <c r="J5" s="2" t="s">
        <v>34</v>
      </c>
      <c r="K5" s="2">
        <v>-1</v>
      </c>
      <c r="L5" s="2">
        <v>19</v>
      </c>
      <c r="M5" s="11">
        <f>H5-2.91482*K5^2*$P$3^0.5/(1+$P$5*$P$3^0.5)-L5*(-2.91482*$P$3^0.5/(1+$P$5*$P$3^0.5)+$P$6*($P$4/1000)*LN(10^-$P$2))</f>
        <v>-1006.3809498877584</v>
      </c>
      <c r="O5" s="2" t="s">
        <v>10</v>
      </c>
      <c r="P5" s="2">
        <v>1.6</v>
      </c>
      <c r="Q5" s="2" t="s">
        <v>11</v>
      </c>
    </row>
    <row r="6" spans="1:23" s="2" customFormat="1" x14ac:dyDescent="0.2">
      <c r="A6" s="2" t="s">
        <v>113</v>
      </c>
      <c r="B6" s="2" t="s">
        <v>28</v>
      </c>
      <c r="C6" s="2" t="s">
        <v>29</v>
      </c>
      <c r="D6" s="2">
        <v>-3</v>
      </c>
      <c r="E6" s="2">
        <v>16</v>
      </c>
      <c r="F6" s="3">
        <v>-577.97</v>
      </c>
      <c r="G6" s="2" t="s">
        <v>76</v>
      </c>
      <c r="H6" s="3">
        <f>F6*4.184</f>
        <v>-2418.2264800000003</v>
      </c>
      <c r="I6" s="4">
        <f>H6-2.91482*D6^2*$P$3^0.5/(1+$P$5*$P$3^0.5)-E6*(-2.91482*$P$3^0.5/(1+$P$5*$P$3^0.5)+$P$6*($P$4/1000)*LN(10^-$P$2))</f>
        <v>-1773.2580669815043</v>
      </c>
      <c r="J6" s="2" t="s">
        <v>96</v>
      </c>
      <c r="K6" s="2">
        <v>-1</v>
      </c>
      <c r="L6" s="2">
        <v>18</v>
      </c>
      <c r="M6" s="11">
        <f>H6-2.91482*K6^2*$P$3^0.5/(1+$P$5*$P$3^0.5)-L6*(-2.91482*$P$3^0.5/(1+$P$5*$P$3^0.5)+$P$6*($P$4/1000)*LN(10^-$P$2))</f>
        <v>-1685.2487563264147</v>
      </c>
      <c r="O6" s="2" t="s">
        <v>12</v>
      </c>
      <c r="P6" s="2">
        <v>8.3145100000000003</v>
      </c>
      <c r="Q6" s="2" t="s">
        <v>13</v>
      </c>
    </row>
    <row r="7" spans="1:23" s="2" customFormat="1" x14ac:dyDescent="0.2">
      <c r="A7" s="2" t="s">
        <v>91</v>
      </c>
      <c r="B7" s="2" t="s">
        <v>30</v>
      </c>
      <c r="C7" s="2" t="s">
        <v>31</v>
      </c>
      <c r="D7" s="2">
        <v>-1</v>
      </c>
      <c r="E7" s="2">
        <v>16</v>
      </c>
      <c r="F7" s="3">
        <v>-151.29</v>
      </c>
      <c r="G7" s="2">
        <v>3</v>
      </c>
      <c r="H7" s="3">
        <f>F7*4.184</f>
        <v>-632.99735999999996</v>
      </c>
      <c r="I7" s="4">
        <f>H7-2.91482*D7^2*$P$3^0.5/(1+$P$5*$P$3^0.5)-E7*(-2.91482*$P$3^0.5/(1+$P$5*$P$3^0.5)+$P$6*($P$4/1000)*LN(10^-$P$2))</f>
        <v>18.448430796273556</v>
      </c>
      <c r="J7" s="2" t="s">
        <v>97</v>
      </c>
      <c r="K7" s="2">
        <v>0</v>
      </c>
      <c r="L7" s="2">
        <v>17</v>
      </c>
      <c r="M7" s="11">
        <f>H7-2.91482*K7^2*$P$3^0.5/(1+$P$5*$P$3^0.5)-L7*(-2.91482*$P$3^0.5/(1+$P$5*$P$3^0.5)+$P$6*($P$4/1000)*LN(10^-$P$2))</f>
        <v>60.024069457151768</v>
      </c>
    </row>
    <row r="8" spans="1:23" s="2" customFormat="1" x14ac:dyDescent="0.2">
      <c r="A8" s="10" t="s">
        <v>91</v>
      </c>
      <c r="B8" s="10" t="s">
        <v>30</v>
      </c>
      <c r="C8" s="10" t="s">
        <v>31</v>
      </c>
      <c r="D8" s="10">
        <v>-1</v>
      </c>
      <c r="E8" s="10">
        <v>16</v>
      </c>
      <c r="F8" s="3">
        <v>-165.59</v>
      </c>
      <c r="G8" s="2">
        <v>4</v>
      </c>
      <c r="H8" s="3">
        <f>F8*4.184</f>
        <v>-692.82856000000004</v>
      </c>
      <c r="I8" s="4">
        <f>H8-2.91482*D8^2*$P$3^0.5/(1+$P$5*$P$3^0.5)-E8*(-2.91482*$P$3^0.5/(1+$P$5*$P$3^0.5)+$P$6*($P$4/1000)*LN(10^-$P$2))</f>
        <v>-41.382769203726525</v>
      </c>
      <c r="J8" s="10" t="s">
        <v>97</v>
      </c>
      <c r="K8" s="10">
        <v>0</v>
      </c>
      <c r="L8" s="10">
        <v>17</v>
      </c>
      <c r="M8" s="11">
        <f>H8-2.91482*K8^2*$P$3^0.5/(1+$P$5*$P$3^0.5)-L8*(-2.91482*$P$3^0.5/(1+$P$5*$P$3^0.5)+$P$6*($P$4/1000)*LN(10^-$P$2))</f>
        <v>0.19286945715168713</v>
      </c>
    </row>
    <row r="9" spans="1:23" s="2" customFormat="1" x14ac:dyDescent="0.2">
      <c r="A9" s="2" t="s">
        <v>32</v>
      </c>
      <c r="B9" s="2" t="s">
        <v>33</v>
      </c>
      <c r="C9" s="2" t="s">
        <v>34</v>
      </c>
      <c r="D9" s="2">
        <v>-3</v>
      </c>
      <c r="E9" s="2">
        <v>19</v>
      </c>
      <c r="F9" s="3">
        <v>-425.46</v>
      </c>
      <c r="G9" s="2">
        <v>3</v>
      </c>
      <c r="H9" s="3">
        <f>F9*4.184</f>
        <v>-1780.12464</v>
      </c>
      <c r="I9" s="4">
        <f>H9-2.91482*D9^2*$P$3^0.5/(1+$P$5*$P$3^0.5)-E9*(-2.91482*$P$3^0.5/(1+$P$5*$P$3^0.5)+$P$6*($P$4/1000)*LN(10^-$P$2))</f>
        <v>-1012.8583276655362</v>
      </c>
      <c r="J9" s="2" t="s">
        <v>89</v>
      </c>
      <c r="K9" s="2">
        <v>-1</v>
      </c>
      <c r="L9" s="2">
        <v>21</v>
      </c>
      <c r="M9" s="11">
        <f>H9-2.91482*K9^2*$P$3^0.5/(1+$P$5*$P$3^0.5)-L9*(-2.91482*$P$3^0.5/(1+$P$5*$P$3^0.5)+$P$6*($P$4/1000)*LN(10^-$P$2))</f>
        <v>-924.84901701044646</v>
      </c>
    </row>
    <row r="10" spans="1:23" s="2" customFormat="1" x14ac:dyDescent="0.2">
      <c r="A10" s="2" t="s">
        <v>32</v>
      </c>
      <c r="B10" s="2" t="s">
        <v>33</v>
      </c>
      <c r="C10" s="2" t="s">
        <v>34</v>
      </c>
      <c r="D10" s="2">
        <v>-3</v>
      </c>
      <c r="E10" s="2">
        <v>19</v>
      </c>
      <c r="F10" s="3">
        <v>-439.76</v>
      </c>
      <c r="G10" s="2">
        <v>4</v>
      </c>
      <c r="H10" s="3">
        <f>F10*4.184</f>
        <v>-1839.9558400000001</v>
      </c>
      <c r="I10" s="4">
        <f>H10-2.91482*D10^2*$P$3^0.5/(1+$P$5*$P$3^0.5)-E10*(-2.91482*$P$3^0.5/(1+$P$5*$P$3^0.5)+$P$6*($P$4/1000)*LN(10^-$P$2))</f>
        <v>-1072.6895276655364</v>
      </c>
      <c r="J10" s="2" t="s">
        <v>89</v>
      </c>
      <c r="K10" s="2">
        <v>-1</v>
      </c>
      <c r="L10" s="2">
        <v>21</v>
      </c>
      <c r="M10" s="11">
        <f>H10-2.91482*K10^2*$P$3^0.5/(1+$P$5*$P$3^0.5)-L10*(-2.91482*$P$3^0.5/(1+$P$5*$P$3^0.5)+$P$6*($P$4/1000)*LN(10^-$P$2))</f>
        <v>-984.68021701044654</v>
      </c>
      <c r="P10" s="31" t="s">
        <v>149</v>
      </c>
      <c r="Q10" s="19"/>
      <c r="R10" s="19"/>
      <c r="S10" s="19"/>
      <c r="T10" s="19"/>
      <c r="U10" s="19"/>
      <c r="V10" s="20"/>
    </row>
    <row r="11" spans="1:23" s="2" customFormat="1" x14ac:dyDescent="0.2">
      <c r="A11" s="2" t="s">
        <v>35</v>
      </c>
      <c r="B11" s="2" t="s">
        <v>36</v>
      </c>
      <c r="C11" s="2" t="s">
        <v>37</v>
      </c>
      <c r="D11" s="2">
        <v>-4</v>
      </c>
      <c r="E11" s="2">
        <v>25</v>
      </c>
      <c r="F11" s="3">
        <v>-532.44000000000005</v>
      </c>
      <c r="G11" s="2">
        <v>3</v>
      </c>
      <c r="H11" s="3">
        <f>F11*4.184</f>
        <v>-2227.7289600000004</v>
      </c>
      <c r="I11" s="4">
        <f>H11-2.91482*D11^2*$P$3^0.5/(1+$P$5*$P$3^0.5)-E11*(-2.91482*$P$3^0.5/(1+$P$5*$P$3^0.5)+$P$6*($P$4/1000)*LN(10^-$P$2))</f>
        <v>-1221.5345545891562</v>
      </c>
      <c r="J11" s="2" t="s">
        <v>98</v>
      </c>
      <c r="K11" s="2">
        <v>-1</v>
      </c>
      <c r="L11" s="2">
        <v>28</v>
      </c>
      <c r="M11" s="11">
        <f>H11-2.91482*K11^2*$P$3^0.5/(1+$P$5*$P$3^0.5)-L11*(-2.91482*$P$3^0.5/(1+$P$5*$P$3^0.5)+$P$6*($P$4/1000)*LN(10^-$P$2))</f>
        <v>-1087.0915719398549</v>
      </c>
      <c r="P11" s="21"/>
      <c r="Q11" s="22" t="s">
        <v>144</v>
      </c>
      <c r="R11" s="22" t="s">
        <v>145</v>
      </c>
      <c r="S11" s="22" t="s">
        <v>146</v>
      </c>
      <c r="T11" s="22" t="s">
        <v>147</v>
      </c>
      <c r="U11" s="22" t="s">
        <v>142</v>
      </c>
      <c r="V11" s="23" t="s">
        <v>143</v>
      </c>
    </row>
    <row r="12" spans="1:23" s="2" customFormat="1" x14ac:dyDescent="0.2">
      <c r="A12" s="2" t="s">
        <v>35</v>
      </c>
      <c r="B12" s="2" t="s">
        <v>36</v>
      </c>
      <c r="C12" s="2" t="s">
        <v>37</v>
      </c>
      <c r="D12" s="2">
        <v>-4</v>
      </c>
      <c r="E12" s="2">
        <v>25</v>
      </c>
      <c r="F12" s="3">
        <v>-546.74</v>
      </c>
      <c r="G12" s="2">
        <v>4</v>
      </c>
      <c r="H12" s="3">
        <f>F12*4.184</f>
        <v>-2287.56016</v>
      </c>
      <c r="I12" s="4">
        <f>H12-2.91482*D12^2*$P$3^0.5/(1+$P$5*$P$3^0.5)-E12*(-2.91482*$P$3^0.5/(1+$P$5*$P$3^0.5)+$P$6*($P$4/1000)*LN(10^-$P$2))</f>
        <v>-1281.3657545891558</v>
      </c>
      <c r="J12" s="2" t="s">
        <v>98</v>
      </c>
      <c r="K12" s="2">
        <v>-1</v>
      </c>
      <c r="L12" s="2">
        <v>28</v>
      </c>
      <c r="M12" s="11">
        <f>H12-2.91482*K12^2*$P$3^0.5/(1+$P$5*$P$3^0.5)-L12*(-2.91482*$P$3^0.5/(1+$P$5*$P$3^0.5)+$P$6*($P$4/1000)*LN(10^-$P$2))</f>
        <v>-1146.9227719398546</v>
      </c>
      <c r="P12" s="21" t="s">
        <v>133</v>
      </c>
      <c r="Q12" s="24">
        <f>($M$6+$M$37)-($M$35+$M$30)</f>
        <v>138.48723552661295</v>
      </c>
      <c r="R12" s="24">
        <f>($I$6+$I$37)-($I$35+$I$30)</f>
        <v>4.0442528773114645</v>
      </c>
      <c r="S12" s="24">
        <f>($M$6+$M$37)-($M$35+$M$30)</f>
        <v>138.48723552661295</v>
      </c>
      <c r="T12" s="24">
        <f>($I$6+$I$37)-($I$35+$I$30)</f>
        <v>4.0442528773114645</v>
      </c>
      <c r="U12" s="25">
        <f>AVERAGE(Q12:T12)</f>
        <v>71.265744201962207</v>
      </c>
      <c r="V12" s="26">
        <f>_xlfn.STDEV.P(Q12:T12)</f>
        <v>67.221491324650742</v>
      </c>
      <c r="W12" s="18"/>
    </row>
    <row r="13" spans="1:23" s="2" customFormat="1" x14ac:dyDescent="0.2">
      <c r="A13" s="2" t="s">
        <v>38</v>
      </c>
      <c r="B13" s="2" t="s">
        <v>117</v>
      </c>
      <c r="C13" s="2" t="s">
        <v>39</v>
      </c>
      <c r="D13" s="2">
        <v>-5</v>
      </c>
      <c r="E13" s="2">
        <v>32</v>
      </c>
      <c r="F13" s="3">
        <v>-653.72</v>
      </c>
      <c r="G13" s="2">
        <v>3</v>
      </c>
      <c r="H13" s="3">
        <f>F13*4.184</f>
        <v>-2735.1644800000004</v>
      </c>
      <c r="I13" s="4">
        <f>H13-2.91482*D13^2*$P$3^0.5/(1+$P$5*$P$3^0.5)-E13*(-2.91482*$P$3^0.5/(1+$P$5*$P$3^0.5)+$P$6*($P$4/1000)*LN(10^-$P$2))</f>
        <v>-1450.8953595185642</v>
      </c>
      <c r="J13" s="2" t="s">
        <v>99</v>
      </c>
      <c r="K13" s="2">
        <v>-2</v>
      </c>
      <c r="L13" s="2">
        <v>34</v>
      </c>
      <c r="M13" s="11">
        <f>H13-2.91482*K13^2*$P$3^0.5/(1+$P$5*$P$3^0.5)-L13*(-2.91482*$P$3^0.5/(1+$P$5*$P$3^0.5)+$P$6*($P$4/1000)*LN(10^-$P$2))</f>
        <v>-1352.360309974586</v>
      </c>
      <c r="P13" s="21" t="s">
        <v>134</v>
      </c>
      <c r="Q13" s="24">
        <f>($M$4+$M$32+$M$33+$M$2)-($M$3+$M$39+$M$38)</f>
        <v>-225.87993287731177</v>
      </c>
      <c r="R13" s="24">
        <f>($I$4+$I$32+$I$33+$I$2)-($I$3+$I$39+$I$38)</f>
        <v>-225.87993287731177</v>
      </c>
      <c r="S13" s="24">
        <f>($M$4+$M$32+$M$33+$M$2)-($M$3+$M$39+$M$38)</f>
        <v>-225.87993287731177</v>
      </c>
      <c r="T13" s="24">
        <f>($I$4+$I$32+$I$33+$I$2)-($I$3+$I$39+$I$38)</f>
        <v>-225.87993287731177</v>
      </c>
      <c r="U13" s="25">
        <f t="shared" ref="U13:U20" si="0">AVERAGE(Q13:T13)</f>
        <v>-225.87993287731177</v>
      </c>
      <c r="V13" s="26">
        <f t="shared" ref="V13:V20" si="1">_xlfn.STDEV.P(Q13:T13)</f>
        <v>0</v>
      </c>
      <c r="W13" s="18"/>
    </row>
    <row r="14" spans="1:23" s="2" customFormat="1" x14ac:dyDescent="0.2">
      <c r="A14" s="2" t="s">
        <v>38</v>
      </c>
      <c r="B14" s="2" t="s">
        <v>117</v>
      </c>
      <c r="C14" s="2" t="s">
        <v>86</v>
      </c>
      <c r="D14" s="2">
        <v>-5</v>
      </c>
      <c r="E14" s="2">
        <v>32</v>
      </c>
      <c r="F14" s="3">
        <v>-653.72</v>
      </c>
      <c r="G14" s="2">
        <v>4</v>
      </c>
      <c r="H14" s="3">
        <f>F14*4.184</f>
        <v>-2735.1644800000004</v>
      </c>
      <c r="I14" s="4">
        <f>H14-2.91482*D14^2*$P$3^0.5/(1+$P$5*$P$3^0.5)-E14*(-2.91482*$P$3^0.5/(1+$P$5*$P$3^0.5)+$P$6*($P$4/1000)*LN(10^-$P$2))</f>
        <v>-1450.8953595185642</v>
      </c>
      <c r="J14" s="2" t="s">
        <v>99</v>
      </c>
      <c r="K14" s="2">
        <v>-2</v>
      </c>
      <c r="L14" s="2">
        <v>34</v>
      </c>
      <c r="M14" s="11">
        <f>H14-2.91482*K14^2*$P$3^0.5/(1+$P$5*$P$3^0.5)-L14*(-2.91482*$P$3^0.5/(1+$P$5*$P$3^0.5)+$P$6*($P$4/1000)*LN(10^-$P$2))</f>
        <v>-1352.360309974586</v>
      </c>
      <c r="P14" s="21" t="s">
        <v>135</v>
      </c>
      <c r="Q14" s="24">
        <f>($M$7+$M$34+$M$33+$M$2)-($M38+$M$4)</f>
        <v>-843.91280000000006</v>
      </c>
      <c r="R14" s="24">
        <f>($I$7+$I$34+$I$33+$I$2)-($I38+$I$4)</f>
        <v>-885.48843866087827</v>
      </c>
      <c r="S14" s="24">
        <f>($M$8+$M$34+$M$33+$M$2)-($M38+$M$4)</f>
        <v>-903.74400000000014</v>
      </c>
      <c r="T14" s="24">
        <f>($I$8+$I$34+$I$33+$I$2)-($I38+$I$4)</f>
        <v>-945.31963866087835</v>
      </c>
      <c r="U14" s="25">
        <f t="shared" si="0"/>
        <v>-894.61621933043921</v>
      </c>
      <c r="V14" s="26">
        <f>_xlfn.STDEV.P(Q14:T14)</f>
        <v>36.429061968090537</v>
      </c>
    </row>
    <row r="15" spans="1:23" s="2" customFormat="1" x14ac:dyDescent="0.2">
      <c r="A15" s="2" t="s">
        <v>40</v>
      </c>
      <c r="B15" s="2" t="s">
        <v>41</v>
      </c>
      <c r="C15" s="2" t="s">
        <v>42</v>
      </c>
      <c r="D15" s="2">
        <v>-6</v>
      </c>
      <c r="E15" s="2">
        <v>37</v>
      </c>
      <c r="F15" s="3">
        <v>-746.4</v>
      </c>
      <c r="G15" s="2">
        <v>3</v>
      </c>
      <c r="H15" s="3">
        <f>F15*4.184</f>
        <v>-3122.9376000000002</v>
      </c>
      <c r="I15" s="4">
        <f>H15-2.91482*D15^2*$P$3^0.5/(1+$P$5*$P$3^0.5)-E15*(-2.91482*$P$3^0.5/(1+$P$5*$P$3^0.5)+$P$6*($P$4/1000)*LN(10^-$P$2))</f>
        <v>-1643.7450417697287</v>
      </c>
      <c r="J15" s="2" t="s">
        <v>100</v>
      </c>
      <c r="K15" s="2">
        <v>-3</v>
      </c>
      <c r="L15" s="2">
        <v>40</v>
      </c>
      <c r="M15" s="11">
        <f>H15-2.91482*K15^2*$P$3^0.5/(1+$P$5*$P$3^0.5)-L15*(-2.91482*$P$3^0.5/(1+$P$5*$P$3^0.5)+$P$6*($P$4/1000)*LN(10^-$P$2))</f>
        <v>-1499.5859924537606</v>
      </c>
      <c r="P15" s="21" t="s">
        <v>136</v>
      </c>
      <c r="Q15" s="24">
        <f>($M$5+$M$29)-($M$7+$M$6)</f>
        <v>-185.13055464351282</v>
      </c>
      <c r="R15" s="24">
        <f>($I$5+$I$29)-($I$7+$I$6)</f>
        <v>62.703932877312127</v>
      </c>
      <c r="S15" s="24">
        <f>($M$5+$M$29)-($M$8+$M$6)</f>
        <v>-125.29935464351274</v>
      </c>
      <c r="T15" s="24">
        <f>($I$5+$I$29)-($I$8+$I$6)</f>
        <v>122.53513287731221</v>
      </c>
      <c r="U15" s="25">
        <f t="shared" si="0"/>
        <v>-31.297710883100308</v>
      </c>
      <c r="V15" s="26">
        <f t="shared" si="1"/>
        <v>127.47716040349144</v>
      </c>
    </row>
    <row r="16" spans="1:23" s="2" customFormat="1" x14ac:dyDescent="0.2">
      <c r="A16" s="2" t="s">
        <v>40</v>
      </c>
      <c r="B16" s="2" t="s">
        <v>41</v>
      </c>
      <c r="C16" s="2" t="s">
        <v>42</v>
      </c>
      <c r="D16" s="2">
        <v>-6</v>
      </c>
      <c r="E16" s="2">
        <v>37</v>
      </c>
      <c r="F16" s="3">
        <v>-760.7</v>
      </c>
      <c r="G16" s="2">
        <v>4</v>
      </c>
      <c r="H16" s="3">
        <f>F16*4.184</f>
        <v>-3182.7688000000003</v>
      </c>
      <c r="I16" s="4">
        <f>H16-2.91482*D16^2*$P$3^0.5/(1+$P$5*$P$3^0.5)-E16*(-2.91482*$P$3^0.5/(1+$P$5*$P$3^0.5)+$P$6*($P$4/1000)*LN(10^-$P$2))</f>
        <v>-1703.5762417697288</v>
      </c>
      <c r="J16" s="2" t="s">
        <v>100</v>
      </c>
      <c r="K16" s="2">
        <v>-3</v>
      </c>
      <c r="L16" s="2">
        <v>40</v>
      </c>
      <c r="M16" s="11">
        <f>H16-2.91482*K16^2*$P$3^0.5/(1+$P$5*$P$3^0.5)-L16*(-2.91482*$P$3^0.5/(1+$P$5*$P$3^0.5)+$P$6*($P$4/1000)*LN(10^-$P$2))</f>
        <v>-1559.4171924537607</v>
      </c>
      <c r="P16" s="21" t="s">
        <v>137</v>
      </c>
      <c r="Q16" s="24">
        <f>($M$9+$M$25)-($M$5+$M$26)</f>
        <v>36.86104000000023</v>
      </c>
      <c r="R16" s="24">
        <f>($I$9+$I$25)-($I$5+$I$26)</f>
        <v>-126.20282575462375</v>
      </c>
      <c r="S16" s="24">
        <f>($M$10+$M$25)-($M$5+$M$26)</f>
        <v>-22.970159999999851</v>
      </c>
      <c r="T16" s="24">
        <f>($I$10+$I$25)-($I$5+$I$26)</f>
        <v>-186.03402575462383</v>
      </c>
      <c r="U16" s="25">
        <f t="shared" si="0"/>
        <v>-74.586492877311798</v>
      </c>
      <c r="V16" s="26">
        <f t="shared" si="1"/>
        <v>86.846987294151489</v>
      </c>
    </row>
    <row r="17" spans="1:23" s="2" customFormat="1" x14ac:dyDescent="0.2">
      <c r="A17" s="2" t="s">
        <v>43</v>
      </c>
      <c r="B17" s="2" t="s">
        <v>44</v>
      </c>
      <c r="C17" s="2" t="s">
        <v>45</v>
      </c>
      <c r="D17" s="2">
        <v>-7</v>
      </c>
      <c r="E17" s="2">
        <v>43</v>
      </c>
      <c r="F17" s="3">
        <v>-853.38</v>
      </c>
      <c r="G17" s="2">
        <v>3</v>
      </c>
      <c r="H17" s="3">
        <f>F17*4.184</f>
        <v>-3570.5419200000001</v>
      </c>
      <c r="I17" s="4">
        <f>H17-2.91482*D17^2*$P$3^0.5/(1+$P$5*$P$3^0.5)-E17*(-2.91482*$P$3^0.5/(1+$P$5*$P$3^0.5)+$P$6*($P$4/1000)*LN(10^-$P$2))</f>
        <v>-1857.2793020266818</v>
      </c>
      <c r="J17" s="2" t="s">
        <v>101</v>
      </c>
      <c r="K17" s="2">
        <v>-4</v>
      </c>
      <c r="L17" s="2">
        <v>46</v>
      </c>
      <c r="M17" s="11">
        <f>H17-2.91482*K17^2*$P$3^0.5/(1+$P$5*$P$3^0.5)-L17*(-2.91482*$P$3^0.5/(1+$P$5*$P$3^0.5)+$P$6*($P$4/1000)*LN(10^-$P$2))</f>
        <v>-1708.2622193773802</v>
      </c>
      <c r="P17" s="21" t="s">
        <v>138</v>
      </c>
      <c r="Q17" s="24">
        <f>($M$11+$M$27+$M$36)-($M$9+$M$30+$M$28)</f>
        <v>16.527072888888142</v>
      </c>
      <c r="R17" s="24">
        <f>($I$11+$I$27+$I$36)-($I$9+$I$30+$I$28)</f>
        <v>-31.525943549767362</v>
      </c>
      <c r="S17" s="24">
        <f>($M$12+$M$27+$M$36)-($M$10+$M$30+$M$28)</f>
        <v>16.527072888888597</v>
      </c>
      <c r="T17" s="24">
        <f>($I$12+$I$27+$I$36)-($I$10+$I$30+$I$28)</f>
        <v>-31.525943549766907</v>
      </c>
      <c r="U17" s="25">
        <f t="shared" si="0"/>
        <v>-7.4994353304393826</v>
      </c>
      <c r="V17" s="26">
        <f t="shared" si="1"/>
        <v>24.026508219327752</v>
      </c>
    </row>
    <row r="18" spans="1:23" s="2" customFormat="1" x14ac:dyDescent="0.2">
      <c r="A18" s="2" t="s">
        <v>43</v>
      </c>
      <c r="B18" s="2" t="s">
        <v>44</v>
      </c>
      <c r="C18" s="2" t="s">
        <v>45</v>
      </c>
      <c r="D18" s="2">
        <v>-7</v>
      </c>
      <c r="E18" s="2">
        <v>43</v>
      </c>
      <c r="F18" s="3" t="s">
        <v>90</v>
      </c>
      <c r="G18" s="2">
        <v>4</v>
      </c>
      <c r="H18" s="3" t="s">
        <v>90</v>
      </c>
      <c r="I18" s="4" t="s">
        <v>90</v>
      </c>
      <c r="J18" s="2" t="s">
        <v>101</v>
      </c>
      <c r="K18" s="2">
        <v>-4</v>
      </c>
      <c r="L18" s="2">
        <v>46</v>
      </c>
      <c r="M18" s="11" t="e">
        <f>H18-2.91482*K18^2*$P$3^0.5/(1+$P$5*$P$3^0.5)-L18*(-2.91482*$P$3^0.5/(1+$P$5*$P$3^0.5)+$P$6*($P$4/1000)*LN(10^-$P$2))</f>
        <v>#VALUE!</v>
      </c>
      <c r="P18" s="21" t="s">
        <v>139</v>
      </c>
      <c r="Q18" s="24">
        <f>($M$13+$M$27+$M$36)-($M$11+$M$30+$M$28)</f>
        <v>-86.499110216434019</v>
      </c>
      <c r="R18" s="24">
        <f>($I$13+$I$27+$I$36)-($I$11+$I$30+$I$28)</f>
        <v>-52.21052155555526</v>
      </c>
      <c r="S18" s="24">
        <f>($M$14+$M$27+$M$36)-($M$12+$M$30+$M$28)</f>
        <v>-26.667910216434393</v>
      </c>
      <c r="T18" s="24">
        <f>($I$14+$I$27+$I$36)-($I$12+$I$30+$I$28)</f>
        <v>7.6206784444448203</v>
      </c>
      <c r="U18" s="25">
        <f t="shared" si="0"/>
        <v>-39.439215885994713</v>
      </c>
      <c r="V18" s="26">
        <f t="shared" si="1"/>
        <v>34.479993495485687</v>
      </c>
    </row>
    <row r="19" spans="1:23" s="2" customFormat="1" x14ac:dyDescent="0.2">
      <c r="A19" s="2" t="s">
        <v>46</v>
      </c>
      <c r="B19" s="2" t="s">
        <v>47</v>
      </c>
      <c r="C19" s="2" t="s">
        <v>48</v>
      </c>
      <c r="D19" s="2">
        <v>-8</v>
      </c>
      <c r="E19" s="2">
        <v>49</v>
      </c>
      <c r="F19" s="3">
        <v>-960.36</v>
      </c>
      <c r="G19" s="2">
        <v>3</v>
      </c>
      <c r="H19" s="3">
        <f>F19*4.184</f>
        <v>-4018.14624</v>
      </c>
      <c r="I19" s="4">
        <f>H19-2.91482*D19^2*$P$3^0.5/(1+$P$5*$P$3^0.5)-E19*(-2.91482*$P$3^0.5/(1+$P$5*$P$3^0.5)+$P$6*($P$4/1000)*LN(10^-$P$2))</f>
        <v>-2072.4329067280792</v>
      </c>
      <c r="J19" s="2" t="s">
        <v>102</v>
      </c>
      <c r="K19" s="2">
        <v>-5</v>
      </c>
      <c r="L19" s="2">
        <v>52</v>
      </c>
      <c r="M19" s="11">
        <f>H19-2.91482*K19^2*$P$3^0.5/(1+$P$5*$P$3^0.5)-L19*(-2.91482*$P$3^0.5/(1+$P$5*$P$3^0.5)+$P$6*($P$4/1000)*LN(10^-$P$2))</f>
        <v>-1918.557790745444</v>
      </c>
      <c r="P19" s="21" t="s">
        <v>140</v>
      </c>
      <c r="Q19" s="24">
        <f>($M$15+$M$27+$M$36)-($M$13+$M$30+$M$28)</f>
        <v>31.543945339122729</v>
      </c>
      <c r="R19" s="24">
        <f>($I$15+$I$27+$I$36)-($I$13+$I$30+$I$28)</f>
        <v>-15.699398877311978</v>
      </c>
      <c r="S19" s="24">
        <f>($M$16+$M$27+$M$36)-($M$14+$M$30+$M$28)</f>
        <v>-28.287254660876897</v>
      </c>
      <c r="T19" s="24">
        <f>($I$16+$I$27+$I$36)-($I$14+$I$30+$I$28)</f>
        <v>-75.530598877311604</v>
      </c>
      <c r="U19" s="25">
        <f t="shared" si="0"/>
        <v>-21.993326769094438</v>
      </c>
      <c r="V19" s="26">
        <f t="shared" si="1"/>
        <v>38.117273204521368</v>
      </c>
    </row>
    <row r="20" spans="1:23" s="2" customFormat="1" x14ac:dyDescent="0.2">
      <c r="A20" s="2" t="s">
        <v>46</v>
      </c>
      <c r="B20" s="2" t="s">
        <v>47</v>
      </c>
      <c r="C20" s="2" t="s">
        <v>48</v>
      </c>
      <c r="D20" s="2">
        <v>-8</v>
      </c>
      <c r="E20" s="2">
        <v>49</v>
      </c>
      <c r="F20" s="3" t="s">
        <v>90</v>
      </c>
      <c r="G20" s="2">
        <v>4</v>
      </c>
      <c r="H20" s="3" t="s">
        <v>90</v>
      </c>
      <c r="I20" s="4" t="s">
        <v>90</v>
      </c>
      <c r="J20" s="2" t="s">
        <v>102</v>
      </c>
      <c r="K20" s="2">
        <v>-5</v>
      </c>
      <c r="L20" s="2">
        <v>52</v>
      </c>
      <c r="M20" s="11" t="e">
        <f>H20-2.91482*K20^2*$P$3^0.5/(1+$P$5*$P$3^0.5)-L20*(-2.91482*$P$3^0.5/(1+$P$5*$P$3^0.5)+$P$6*($P$4/1000)*LN(10^-$P$2))</f>
        <v>#VALUE!</v>
      </c>
      <c r="P20" s="21" t="s">
        <v>141</v>
      </c>
      <c r="Q20" s="24">
        <f>SUM(Q12:Q19)</f>
        <v>-1118.0031039826347</v>
      </c>
      <c r="R20" s="24">
        <f>SUM(R12:R19)</f>
        <v>-1270.2588755208249</v>
      </c>
      <c r="S20" s="24">
        <f>SUM(S12:S19)</f>
        <v>-1177.8343039826343</v>
      </c>
      <c r="T20" s="24">
        <f>SUM(T12:T19)</f>
        <v>-1330.090075520824</v>
      </c>
      <c r="U20" s="25">
        <f t="shared" si="0"/>
        <v>-1224.0465897517295</v>
      </c>
      <c r="V20" s="26">
        <f t="shared" si="1"/>
        <v>81.794853841989081</v>
      </c>
    </row>
    <row r="21" spans="1:23" s="2" customFormat="1" x14ac:dyDescent="0.2">
      <c r="A21" s="2" t="s">
        <v>49</v>
      </c>
      <c r="B21" s="2" t="s">
        <v>50</v>
      </c>
      <c r="C21" s="2" t="s">
        <v>51</v>
      </c>
      <c r="D21" s="2">
        <v>-9</v>
      </c>
      <c r="E21" s="2">
        <v>55</v>
      </c>
      <c r="F21" s="3">
        <v>-1067.3399999999999</v>
      </c>
      <c r="G21" s="2">
        <v>3</v>
      </c>
      <c r="H21" s="3">
        <f>F21*4.184</f>
        <v>-4465.7505599999995</v>
      </c>
      <c r="I21" s="4">
        <f>H21-2.91482*D21^2*$P$3^0.5/(1+$P$5*$P$3^0.5)-E21*(-2.91482*$P$3^0.5/(1+$P$5*$P$3^0.5)+$P$6*($P$4/1000)*LN(10^-$P$2))</f>
        <v>-2289.2058558739204</v>
      </c>
      <c r="J21" s="2" t="s">
        <v>51</v>
      </c>
      <c r="K21" s="2">
        <v>-9</v>
      </c>
      <c r="L21" s="2">
        <v>55</v>
      </c>
      <c r="M21" s="11">
        <f>H21-2.91482*K21^2*$P$3^0.5/(1+$P$5*$P$3^0.5)-L21*(-2.91482*$P$3^0.5/(1+$P$5*$P$3^0.5)+$P$6*($P$4/1000)*LN(10^-$P$2))</f>
        <v>-2289.2058558739204</v>
      </c>
      <c r="P21" s="27"/>
      <c r="Q21" s="28">
        <f>($M$15+3*$M$27+3*$M$36+$M$29+$M$37+$M$25+2*$M$33+2*$M$2+$M$32+$M$34)-($M$35+$M$3+$M$39+2*$M$38+$M$26+3*$M$28+4*$M$30)</f>
        <v>-1118.0031039826372</v>
      </c>
      <c r="R21" s="28">
        <f>($I$15+3*$I$27+3*$I$36+$I$29+$I$37+$I$25+2*$I$33+2*$I$2+$I$32+$I$34)-($I$35+$I$3+$I$39+2*$I$38+$I$26+3*$I$28+4*$I$30)</f>
        <v>-1270.2588755208271</v>
      </c>
      <c r="S21" s="28">
        <f>($M$16+3*$M$27+3*$M$36+$M$29+$M$37+$M$25+2*$M$33+2*$M$2+$M$32+$M$34)-($M$35+$M$3+$M$39+2*$M$38+$M$26+3*$M$28+4*$M$30)</f>
        <v>-1177.8343039826377</v>
      </c>
      <c r="T21" s="28">
        <f>($I$16+3*$I$27+3*$I$36+$I$29+$I$37+$I$25+2*$I$33+2*$I$2+$I$32+$I$34)-($I$35+$I$3+$I$39+2*$I$38+$I$26+3*$I$28+4*$I$30)</f>
        <v>-1330.0900755208277</v>
      </c>
      <c r="U21" s="29">
        <f t="shared" ref="U21" si="2">AVERAGE(Q21:T21)</f>
        <v>-1224.0465897517324</v>
      </c>
      <c r="V21" s="30">
        <f t="shared" ref="V21" si="3">_xlfn.STDEV.P(Q21:T21)</f>
        <v>81.79485384198928</v>
      </c>
    </row>
    <row r="22" spans="1:23" s="2" customFormat="1" x14ac:dyDescent="0.2">
      <c r="A22" s="2" t="s">
        <v>49</v>
      </c>
      <c r="B22" s="2" t="s">
        <v>50</v>
      </c>
      <c r="C22" s="2" t="s">
        <v>51</v>
      </c>
      <c r="D22" s="2">
        <v>-9</v>
      </c>
      <c r="E22" s="2">
        <v>55</v>
      </c>
      <c r="F22" s="3" t="s">
        <v>90</v>
      </c>
      <c r="G22" s="2">
        <v>4</v>
      </c>
      <c r="H22" s="3" t="s">
        <v>90</v>
      </c>
      <c r="I22" s="4" t="s">
        <v>90</v>
      </c>
      <c r="J22" s="2" t="s">
        <v>51</v>
      </c>
      <c r="K22" s="2">
        <v>-9</v>
      </c>
      <c r="L22" s="2">
        <v>55</v>
      </c>
      <c r="M22" s="11" t="e">
        <f>H22-2.91482*K22^2*$P$3^0.5/(1+$P$5*$P$3^0.5)-L22*(-2.91482*$P$3^0.5/(1+$P$5*$P$3^0.5)+$P$6*($P$4/1000)*LN(10^-$P$2))</f>
        <v>#VALUE!</v>
      </c>
    </row>
    <row r="23" spans="1:23" s="2" customFormat="1" x14ac:dyDescent="0.2">
      <c r="A23" s="2" t="s">
        <v>52</v>
      </c>
      <c r="B23" s="2" t="s">
        <v>53</v>
      </c>
      <c r="C23" s="2" t="s">
        <v>54</v>
      </c>
      <c r="D23" s="2">
        <v>-10</v>
      </c>
      <c r="E23" s="2">
        <v>61</v>
      </c>
      <c r="F23" s="3">
        <v>-1174.32</v>
      </c>
      <c r="G23" s="2">
        <v>3</v>
      </c>
      <c r="H23" s="3">
        <f>F23*4.184</f>
        <v>-4913.3548799999999</v>
      </c>
      <c r="I23" s="4">
        <f>H23-2.91482*D23^2*$P$3^0.5/(1+$P$5*$P$3^0.5)-E23*(-2.91482*$P$3^0.5/(1+$P$5*$P$3^0.5)+$P$6*($P$4/1000)*LN(10^-$P$2))</f>
        <v>-2507.5981494642074</v>
      </c>
      <c r="J23" s="2" t="s">
        <v>54</v>
      </c>
      <c r="K23" s="2">
        <v>-10</v>
      </c>
      <c r="L23" s="2">
        <v>61</v>
      </c>
      <c r="M23" s="11">
        <f>H23-2.91482*K23^2*$P$3^0.5/(1+$P$5*$P$3^0.5)-L23*(-2.91482*$P$3^0.5/(1+$P$5*$P$3^0.5)+$P$6*($P$4/1000)*LN(10^-$P$2))</f>
        <v>-2507.5981494642074</v>
      </c>
    </row>
    <row r="24" spans="1:23" s="2" customFormat="1" x14ac:dyDescent="0.2">
      <c r="A24" s="2" t="s">
        <v>52</v>
      </c>
      <c r="B24" s="2" t="s">
        <v>53</v>
      </c>
      <c r="C24" s="2" t="s">
        <v>54</v>
      </c>
      <c r="D24" s="2">
        <v>-10</v>
      </c>
      <c r="E24" s="2">
        <v>61</v>
      </c>
      <c r="F24" s="3" t="s">
        <v>90</v>
      </c>
      <c r="G24" s="2">
        <v>4</v>
      </c>
      <c r="H24" s="3" t="s">
        <v>90</v>
      </c>
      <c r="I24" s="4" t="s">
        <v>90</v>
      </c>
      <c r="J24" s="2" t="s">
        <v>54</v>
      </c>
      <c r="K24" s="2">
        <v>-10</v>
      </c>
      <c r="L24" s="2">
        <v>61</v>
      </c>
      <c r="M24" s="11" t="e">
        <f>H24-2.91482*K24^2*$P$3^0.5/(1+$P$5*$P$3^0.5)-L24*(-2.91482*$P$3^0.5/(1+$P$5*$P$3^0.5)+$P$6*($P$4/1000)*LN(10^-$P$2))</f>
        <v>#VALUE!</v>
      </c>
      <c r="P24" s="31" t="s">
        <v>150</v>
      </c>
      <c r="Q24" s="19"/>
      <c r="R24" s="19"/>
      <c r="S24" s="19"/>
      <c r="T24" s="19"/>
      <c r="U24" s="19"/>
      <c r="V24" s="20"/>
    </row>
    <row r="25" spans="1:23" s="2" customFormat="1" x14ac:dyDescent="0.2">
      <c r="A25" s="2" t="s">
        <v>55</v>
      </c>
      <c r="B25" s="2" t="s">
        <v>118</v>
      </c>
      <c r="C25" s="2" t="s">
        <v>81</v>
      </c>
      <c r="D25" s="2">
        <v>-1</v>
      </c>
      <c r="E25" s="2">
        <v>20</v>
      </c>
      <c r="F25" s="3">
        <v>-337.52</v>
      </c>
      <c r="G25" s="2">
        <v>1</v>
      </c>
      <c r="H25" s="3">
        <f>F25*4.184</f>
        <v>-1412.1836799999999</v>
      </c>
      <c r="I25" s="4">
        <f>H25-2.91482*D25^2*$P$3^0.5/(1+$P$5*$P$3^0.5)-E25*(-2.91482*$P$3^0.5/(1+$P$5*$P$3^0.5)+$P$6*($P$4/1000)*LN(10^-$P$2))</f>
        <v>-597.67402344910226</v>
      </c>
      <c r="J25" s="2" t="s">
        <v>103</v>
      </c>
      <c r="K25" s="2">
        <v>-2</v>
      </c>
      <c r="L25" s="2">
        <v>19</v>
      </c>
      <c r="M25" s="11">
        <f>H25-2.91482*K25^2*$P$3^0.5/(1+$P$5*$P$3^0.5)-L25*(-2.91482*$P$3^0.5/(1+$P$5*$P$3^0.5)+$P$6*($P$4/1000)*LN(10^-$P$2))</f>
        <v>-640.86900655442503</v>
      </c>
      <c r="P25" s="21"/>
      <c r="Q25" s="22" t="s">
        <v>144</v>
      </c>
      <c r="R25" s="22" t="s">
        <v>145</v>
      </c>
      <c r="S25" s="22" t="s">
        <v>146</v>
      </c>
      <c r="T25" s="22" t="s">
        <v>147</v>
      </c>
      <c r="U25" s="22" t="s">
        <v>142</v>
      </c>
      <c r="V25" s="23" t="s">
        <v>143</v>
      </c>
    </row>
    <row r="26" spans="1:23" s="2" customFormat="1" x14ac:dyDescent="0.2">
      <c r="A26" s="2" t="s">
        <v>82</v>
      </c>
      <c r="B26" s="2" t="s">
        <v>119</v>
      </c>
      <c r="C26" s="2" t="s">
        <v>83</v>
      </c>
      <c r="D26" s="2">
        <v>-1</v>
      </c>
      <c r="E26" s="2">
        <v>22</v>
      </c>
      <c r="F26" s="16">
        <v>-346.33</v>
      </c>
      <c r="G26" s="2">
        <v>1</v>
      </c>
      <c r="H26" s="3">
        <f>F26*4.184</f>
        <v>-1449.0447200000001</v>
      </c>
      <c r="I26" s="4">
        <f>H26-2.91482*D26^2*$P$3^0.5/(1+$P$5*$P$3^0.5)-E26*(-2.91482*$P$3^0.5/(1+$P$5*$P$3^0.5)+$P$6*($P$4/1000)*LN(10^-$P$2))</f>
        <v>-553.00313057179051</v>
      </c>
      <c r="J26" s="2" t="s">
        <v>104</v>
      </c>
      <c r="K26" s="2">
        <v>-2</v>
      </c>
      <c r="L26" s="2">
        <v>21</v>
      </c>
      <c r="M26" s="11">
        <f>H26-2.91482*K26^2*$P$3^0.5/(1+$P$5*$P$3^0.5)-L26*(-2.91482*$P$3^0.5/(1+$P$5*$P$3^0.5)+$P$6*($P$4/1000)*LN(10^-$P$2))</f>
        <v>-596.19811367711327</v>
      </c>
      <c r="P26" s="21" t="s">
        <v>133</v>
      </c>
      <c r="Q26" s="24">
        <f>($M$6+$M$37)-($M$35+$M$30)</f>
        <v>138.48723552661295</v>
      </c>
      <c r="R26" s="24">
        <f>($I$6+$I$37)-($I$35+$I$30)</f>
        <v>4.0442528773114645</v>
      </c>
      <c r="S26" s="24">
        <f>($M$6+$M$37)-($M$35+$M$30)</f>
        <v>138.48723552661295</v>
      </c>
      <c r="T26" s="24">
        <f>($I$6+$I$37)-($I$35+$I$30)</f>
        <v>4.0442528773114645</v>
      </c>
      <c r="U26" s="25">
        <f>AVERAGE(Q26:T26)</f>
        <v>71.265744201962207</v>
      </c>
      <c r="V26" s="26">
        <f>_xlfn.STDEV.P(Q26:T26)</f>
        <v>67.221491324650742</v>
      </c>
    </row>
    <row r="27" spans="1:23" s="2" customFormat="1" x14ac:dyDescent="0.2">
      <c r="A27" s="2" t="s">
        <v>56</v>
      </c>
      <c r="B27" s="2" t="s">
        <v>120</v>
      </c>
      <c r="C27" s="2" t="s">
        <v>84</v>
      </c>
      <c r="D27" s="2">
        <v>-2</v>
      </c>
      <c r="E27" s="2">
        <v>13</v>
      </c>
      <c r="F27" s="3">
        <v>-516.29999999999995</v>
      </c>
      <c r="G27" s="2">
        <v>1</v>
      </c>
      <c r="H27" s="3">
        <f>F27*4.184</f>
        <v>-2160.1992</v>
      </c>
      <c r="I27" s="4">
        <f>H27-2.91482*D27^2*$P$3^0.5/(1+$P$5*$P$3^0.5)-E27*(-2.91482*$P$3^0.5/(1+$P$5*$P$3^0.5)+$P$6*($P$4/1000)*LN(10^-$P$2))</f>
        <v>-1633.4803251863614</v>
      </c>
      <c r="J27" s="2" t="s">
        <v>105</v>
      </c>
      <c r="K27" s="2">
        <v>-3</v>
      </c>
      <c r="L27" s="2">
        <v>12</v>
      </c>
      <c r="M27" s="11">
        <f>H27-2.91482*K27^2*$P$3^0.5/(1+$P$5*$P$3^0.5)-L27*(-2.91482*$P$3^0.5/(1+$P$5*$P$3^0.5)+$P$6*($P$4/1000)*LN(10^-$P$2))</f>
        <v>-1678.2946527361282</v>
      </c>
      <c r="P27" s="21" t="s">
        <v>134</v>
      </c>
      <c r="Q27" s="24">
        <f>($M$32+$M$33+$M$2)-($M$3+$M$39+$M$38)</f>
        <v>-1192.3947945277434</v>
      </c>
      <c r="R27" s="24">
        <f>($I$32+$I$33+$I$2)-($I$3+$I$39+$I$38)</f>
        <v>-1192.3947945277434</v>
      </c>
      <c r="S27" s="24">
        <f>($M$32+$M$33+$M$2)-($M$3+$M$39+$M$38)</f>
        <v>-1192.3947945277434</v>
      </c>
      <c r="T27" s="24">
        <f>($I$32+$I$33+$I$2)-($I$3+$I$39+$I$38)</f>
        <v>-1192.3947945277434</v>
      </c>
      <c r="U27" s="25">
        <f t="shared" ref="U27:U35" si="4">AVERAGE(Q27:T27)</f>
        <v>-1192.3947945277434</v>
      </c>
      <c r="V27" s="26">
        <f t="shared" ref="V27:V35" si="5">_xlfn.STDEV.P(Q27:T27)</f>
        <v>0</v>
      </c>
      <c r="W27" s="18"/>
    </row>
    <row r="28" spans="1:23" s="2" customFormat="1" x14ac:dyDescent="0.2">
      <c r="A28" s="2" t="s">
        <v>125</v>
      </c>
      <c r="B28" s="2" t="s">
        <v>14</v>
      </c>
      <c r="C28" s="8" t="s">
        <v>15</v>
      </c>
      <c r="D28" s="2">
        <v>-1</v>
      </c>
      <c r="E28" s="2">
        <v>8</v>
      </c>
      <c r="F28" s="5">
        <v>-164.13</v>
      </c>
      <c r="G28" s="2">
        <v>1</v>
      </c>
      <c r="H28" s="3">
        <f>F28*4.184</f>
        <v>-686.71992</v>
      </c>
      <c r="I28" s="4">
        <f>H28-2.91482*D28^2*$P$3^0.5/(1+$P$5*$P$3^0.5)-E28*(-2.91482*$P$3^0.5/(1+$P$5*$P$3^0.5)+$P$6*($P$4/1000)*LN(10^-$P$2))</f>
        <v>-361.40186071297438</v>
      </c>
      <c r="J28" s="8" t="s">
        <v>15</v>
      </c>
      <c r="K28" s="2">
        <v>-1</v>
      </c>
      <c r="L28" s="2">
        <v>8</v>
      </c>
      <c r="M28" s="11">
        <f>H28-2.91482*K28^2*$P$3^0.5/(1+$P$5*$P$3^0.5)-L28*(-2.91482*$P$3^0.5/(1+$P$5*$P$3^0.5)+$P$6*($P$4/1000)*LN(10^-$P$2))</f>
        <v>-361.40186071297438</v>
      </c>
      <c r="P28" s="21" t="s">
        <v>135</v>
      </c>
      <c r="Q28" s="24">
        <f>($M$7+$M$34+$M$33+$M$2)-($M38)</f>
        <v>122.60206165043178</v>
      </c>
      <c r="R28" s="24">
        <f>($I$7+$I$34+$I$33+$I$2)-($I38)</f>
        <v>81.026422989553566</v>
      </c>
      <c r="S28" s="24">
        <f>($M$8+$M$34+$M$33+$M$2)-($M38)</f>
        <v>62.770861650431698</v>
      </c>
      <c r="T28" s="24">
        <f>($I$8+$I$34+$I$33+$I$2)-($I38)</f>
        <v>21.195222989553486</v>
      </c>
      <c r="U28" s="25">
        <f t="shared" si="4"/>
        <v>71.898642319992632</v>
      </c>
      <c r="V28" s="26">
        <f t="shared" si="5"/>
        <v>36.429061968090529</v>
      </c>
    </row>
    <row r="29" spans="1:23" s="2" customFormat="1" x14ac:dyDescent="0.2">
      <c r="A29" s="2" t="s">
        <v>57</v>
      </c>
      <c r="B29" s="2" t="s">
        <v>121</v>
      </c>
      <c r="C29" s="2" t="s">
        <v>85</v>
      </c>
      <c r="D29" s="2">
        <v>-1</v>
      </c>
      <c r="E29" s="2">
        <v>13</v>
      </c>
      <c r="F29" s="3">
        <v>-308.3</v>
      </c>
      <c r="G29" s="2">
        <v>1</v>
      </c>
      <c r="H29" s="3">
        <f>F29*4.184</f>
        <v>-1289.9272000000001</v>
      </c>
      <c r="I29" s="4">
        <f>H29-2.91482*D29^2*$P$3^0.5/(1+$P$5*$P$3^0.5)-E29*(-2.91482*$P$3^0.5/(1+$P$5*$P$3^0.5)+$P$6*($P$4/1000)*LN(10^-$P$2))</f>
        <v>-760.77930851969438</v>
      </c>
      <c r="J29" s="2" t="s">
        <v>106</v>
      </c>
      <c r="K29" s="2">
        <v>-2</v>
      </c>
      <c r="L29" s="2">
        <v>12</v>
      </c>
      <c r="M29" s="11">
        <f>H29-2.91482*K29^2*$P$3^0.5/(1+$P$5*$P$3^0.5)-L29*(-2.91482*$P$3^0.5/(1+$P$5*$P$3^0.5)+$P$6*($P$4/1000)*LN(10^-$P$2))</f>
        <v>-803.97429162501714</v>
      </c>
      <c r="P29" s="21" t="s">
        <v>136</v>
      </c>
      <c r="Q29" s="24">
        <f>($M$5+$M$29)-($M$7+$M$6)</f>
        <v>-185.13055464351282</v>
      </c>
      <c r="R29" s="24">
        <f>($I$5+$I$29)-($I$7+$I$6)</f>
        <v>62.703932877312127</v>
      </c>
      <c r="S29" s="24">
        <f>($M$5+$M$29)-($M$8+$M$6)</f>
        <v>-125.29935464351274</v>
      </c>
      <c r="T29" s="24">
        <f>($I$5+$I$29)-($I$8+$I$6)</f>
        <v>122.53513287731221</v>
      </c>
      <c r="U29" s="25">
        <f t="shared" si="4"/>
        <v>-31.297710883100308</v>
      </c>
      <c r="V29" s="26">
        <f t="shared" si="5"/>
        <v>127.47716040349144</v>
      </c>
    </row>
    <row r="30" spans="1:23" s="2" customFormat="1" x14ac:dyDescent="0.2">
      <c r="A30" s="2" t="s">
        <v>20</v>
      </c>
      <c r="B30" s="8" t="s">
        <v>122</v>
      </c>
      <c r="C30" s="8" t="s">
        <v>71</v>
      </c>
      <c r="D30" s="2">
        <v>-3</v>
      </c>
      <c r="E30" s="2">
        <v>13</v>
      </c>
      <c r="F30" s="3">
        <v>-724.3</v>
      </c>
      <c r="G30" s="2">
        <v>1</v>
      </c>
      <c r="H30" s="3">
        <f>F30*4.184</f>
        <v>-3030.4712</v>
      </c>
      <c r="I30" s="4">
        <f>H30-2.91482*D30^2*$P$3^0.5/(1+$P$5*$P$3^0.5)-E30*(-2.91482*$P$3^0.5/(1+$P$5*$P$3^0.5)+$P$6*($P$4/1000)*LN(10^-$P$2))</f>
        <v>-2507.8006862974721</v>
      </c>
      <c r="J30" s="8" t="s">
        <v>93</v>
      </c>
      <c r="K30" s="2">
        <v>-4</v>
      </c>
      <c r="L30" s="2">
        <v>12</v>
      </c>
      <c r="M30" s="11">
        <f>H30-2.91482*K30^2*$P$3^0.5/(1+$P$5*$P$3^0.5)-L30*(-2.91482*$P$3^0.5/(1+$P$5*$P$3^0.5)+$P$6*($P$4/1000)*LN(10^-$P$2))</f>
        <v>-2554.2343582916837</v>
      </c>
      <c r="P30" s="21" t="s">
        <v>137</v>
      </c>
      <c r="Q30" s="24">
        <f>($M$9+$M$25)-($M$5+$M$26)</f>
        <v>36.86104000000023</v>
      </c>
      <c r="R30" s="24">
        <f>($I$9+$I$25)-($I$5+$I$26)</f>
        <v>-126.20282575462375</v>
      </c>
      <c r="S30" s="24">
        <f>($M$10+$M$25)-($M$5+$M$26)</f>
        <v>-22.970159999999851</v>
      </c>
      <c r="T30" s="24">
        <f>($I$10+$I$25)-($I$5+$I$26)</f>
        <v>-186.03402575462383</v>
      </c>
      <c r="U30" s="25">
        <f t="shared" si="4"/>
        <v>-74.586492877311798</v>
      </c>
      <c r="V30" s="26">
        <f t="shared" si="5"/>
        <v>86.846987294151489</v>
      </c>
    </row>
    <row r="31" spans="1:23" s="2" customFormat="1" x14ac:dyDescent="0.2">
      <c r="A31" s="6" t="s">
        <v>58</v>
      </c>
      <c r="B31" s="2" t="s">
        <v>123</v>
      </c>
      <c r="C31" s="2" t="s">
        <v>59</v>
      </c>
      <c r="D31" s="2">
        <v>1</v>
      </c>
      <c r="E31" s="2">
        <v>1</v>
      </c>
      <c r="F31" s="3">
        <v>-9.5299999999999994</v>
      </c>
      <c r="G31" s="2">
        <v>1</v>
      </c>
      <c r="H31" s="3">
        <f>F31*4.184</f>
        <v>-39.873519999999999</v>
      </c>
      <c r="I31" s="4">
        <f>H31-2.91482*D31^2*$P$3^0.5/(1+$P$5*$P$3^0.5)-E31*(-2.91482*$P$3^0.5/(1+$P$5*$P$3^0.5)+$P$6*($P$4/1000)*LN(10^-$P$2))</f>
        <v>8.2774216433762149E-2</v>
      </c>
      <c r="J31" s="2" t="s">
        <v>59</v>
      </c>
      <c r="K31" s="2">
        <v>1</v>
      </c>
      <c r="L31" s="2">
        <v>1</v>
      </c>
      <c r="M31" s="11">
        <f>H31-2.91482*K31^2*$P$3^0.5/(1+$P$5*$P$3^0.5)-L31*(-2.91482*$P$3^0.5/(1+$P$5*$P$3^0.5)+$P$6*($P$4/1000)*LN(10^-$P$2))</f>
        <v>8.2774216433762149E-2</v>
      </c>
      <c r="P31" s="21" t="s">
        <v>138</v>
      </c>
      <c r="Q31" s="24">
        <f>($M$11+$M$27+$M$36)-($M$9+$M$30+$M$28)</f>
        <v>16.527072888888142</v>
      </c>
      <c r="R31" s="24">
        <f>($I$11+$I$27+$I$36)-($I$9+$I$30+$I$28)</f>
        <v>-31.525943549767362</v>
      </c>
      <c r="S31" s="24">
        <f>($M$12+$M$27+$M$36)-($M$10+$M$30+$M$28)</f>
        <v>16.527072888888597</v>
      </c>
      <c r="T31" s="24">
        <f>($I$12+$I$27+$I$36)-($I$10+$I$30+$I$28)</f>
        <v>-31.525943549766907</v>
      </c>
      <c r="U31" s="25">
        <f t="shared" si="4"/>
        <v>-7.4994353304393826</v>
      </c>
      <c r="V31" s="26">
        <f t="shared" si="5"/>
        <v>24.026508219327752</v>
      </c>
    </row>
    <row r="32" spans="1:23" s="2" customFormat="1" x14ac:dyDescent="0.2">
      <c r="A32" s="6" t="s">
        <v>107</v>
      </c>
      <c r="B32" s="16" t="s">
        <v>108</v>
      </c>
      <c r="C32" s="16" t="s">
        <v>109</v>
      </c>
      <c r="D32" s="2">
        <v>-1</v>
      </c>
      <c r="E32" s="2">
        <v>2</v>
      </c>
      <c r="F32" s="3">
        <v>-316.45999999999998</v>
      </c>
      <c r="G32" s="2">
        <v>4</v>
      </c>
      <c r="H32" s="3">
        <f>F32*4.184</f>
        <v>-1324.06864</v>
      </c>
      <c r="I32" s="4">
        <f>H32-2.91482*D32^2*$P$3^0.5/(1+$P$5*$P$3^0.5)-E32*(-2.91482*$P$3^0.5/(1+$P$5*$P$3^0.5)+$P$6*($P$4/1000)*LN(10^-$P$2))</f>
        <v>-1243.3463793449102</v>
      </c>
      <c r="J32" s="16" t="s">
        <v>109</v>
      </c>
      <c r="K32" s="2">
        <v>-1</v>
      </c>
      <c r="L32" s="2">
        <v>2</v>
      </c>
      <c r="M32" s="11">
        <f>H32-2.91482*K32^2*$P$3^0.5/(1+$P$5*$P$3^0.5)-L32*(-2.91482*$P$3^0.5/(1+$P$5*$P$3^0.5)+$P$6*($P$4/1000)*LN(10^-$P$2))</f>
        <v>-1243.3463793449102</v>
      </c>
      <c r="P32" s="21" t="s">
        <v>139</v>
      </c>
      <c r="Q32" s="24">
        <f>($M$13+$M$27+$M$36)-($M$11+$M$30+$M$28)</f>
        <v>-86.499110216434019</v>
      </c>
      <c r="R32" s="24">
        <f>($I$13+$I$27+$I$36)-($I$11+$I$30+$I$28)</f>
        <v>-52.21052155555526</v>
      </c>
      <c r="S32" s="24">
        <f>($M$14+$M$27+$M$36)-($M$12+$M$30+$M$28)</f>
        <v>-26.667910216434393</v>
      </c>
      <c r="T32" s="24">
        <f>($I$14+$I$27+$I$36)-($I$12+$I$30+$I$28)</f>
        <v>7.6206784444448203</v>
      </c>
      <c r="U32" s="25">
        <f t="shared" si="4"/>
        <v>-39.439215885994713</v>
      </c>
      <c r="V32" s="26">
        <f t="shared" si="5"/>
        <v>34.479993495485687</v>
      </c>
    </row>
    <row r="33" spans="1:22" s="2" customFormat="1" x14ac:dyDescent="0.2">
      <c r="A33" s="2" t="s">
        <v>126</v>
      </c>
      <c r="B33" s="8" t="s">
        <v>18</v>
      </c>
      <c r="C33" s="8" t="s">
        <v>19</v>
      </c>
      <c r="D33" s="2">
        <v>0</v>
      </c>
      <c r="E33" s="2">
        <v>11</v>
      </c>
      <c r="F33" s="5">
        <v>-75.91</v>
      </c>
      <c r="G33" s="2">
        <v>1</v>
      </c>
      <c r="H33" s="3">
        <f>F33*4.184</f>
        <v>-317.60744</v>
      </c>
      <c r="I33" s="4">
        <f>H33-2.91482*D33^2*$P$3^0.5/(1+$P$5*$P$3^0.5)-E33*(-2.91482*$P$3^0.5/(1+$P$5*$P$3^0.5)+$P$6*($P$4/1000)*LN(10^-$P$2))</f>
        <v>130.81819082521588</v>
      </c>
      <c r="J33" s="8" t="s">
        <v>19</v>
      </c>
      <c r="K33" s="2">
        <v>0</v>
      </c>
      <c r="L33" s="2">
        <v>11</v>
      </c>
      <c r="M33" s="11">
        <f>H33-2.91482*K33^2*$P$3^0.5/(1+$P$5*$P$3^0.5)-L33*(-2.91482*$P$3^0.5/(1+$P$5*$P$3^0.5)+$P$6*($P$4/1000)*LN(10^-$P$2))</f>
        <v>130.81819082521588</v>
      </c>
      <c r="P33" s="21" t="s">
        <v>140</v>
      </c>
      <c r="Q33" s="24">
        <f>($M$15+$M$27+$M$36)-($M$13+$M$30+$M$28)</f>
        <v>31.543945339122729</v>
      </c>
      <c r="R33" s="24">
        <f>($I$15+$I$27+$I$36)-($I$13+$I$30+$I$28)</f>
        <v>-15.699398877311978</v>
      </c>
      <c r="S33" s="24">
        <f>($M$16+$M$27+$M$36)-($M$14+$M$30+$M$28)</f>
        <v>-28.287254660876897</v>
      </c>
      <c r="T33" s="24">
        <f>($I$16+$I$27+$I$36)-($I$14+$I$30+$I$28)</f>
        <v>-75.530598877311604</v>
      </c>
      <c r="U33" s="25">
        <f t="shared" si="4"/>
        <v>-21.993326769094438</v>
      </c>
      <c r="V33" s="26">
        <f t="shared" si="5"/>
        <v>38.117273204521368</v>
      </c>
    </row>
    <row r="34" spans="1:22" s="2" customFormat="1" x14ac:dyDescent="0.2">
      <c r="A34" s="2" t="s">
        <v>60</v>
      </c>
      <c r="B34" s="2" t="s">
        <v>61</v>
      </c>
      <c r="C34" s="2" t="s">
        <v>62</v>
      </c>
      <c r="D34" s="2">
        <v>1</v>
      </c>
      <c r="E34" s="2">
        <v>4</v>
      </c>
      <c r="F34" s="3">
        <v>-18.97</v>
      </c>
      <c r="G34" s="2">
        <v>1</v>
      </c>
      <c r="H34" s="3">
        <f>F34*4.184</f>
        <v>-79.370480000000001</v>
      </c>
      <c r="I34" s="4">
        <f>H34-2.91482*D34^2*$P$3^0.5/(1+$P$5*$P$3^0.5)-E34*(-2.91482*$P$3^0.5/(1+$P$5*$P$3^0.5)+$P$6*($P$4/1000)*LN(10^-$P$2))</f>
        <v>82.883713532401728</v>
      </c>
      <c r="J34" s="2" t="s">
        <v>62</v>
      </c>
      <c r="K34" s="2">
        <v>1</v>
      </c>
      <c r="L34" s="2">
        <v>4</v>
      </c>
      <c r="M34" s="11">
        <f>H34-2.91482*K34^2*$P$3^0.5/(1+$P$5*$P$3^0.5)-L34*(-2.91482*$P$3^0.5/(1+$P$5*$P$3^0.5)+$P$6*($P$4/1000)*LN(10^-$P$2))</f>
        <v>82.883713532401728</v>
      </c>
      <c r="P34" s="21" t="s">
        <v>141</v>
      </c>
      <c r="Q34" s="24">
        <f>SUM(Q26:Q33)</f>
        <v>-1118.0031039826345</v>
      </c>
      <c r="R34" s="24">
        <f>SUM(R26:R33)</f>
        <v>-1270.2588755208246</v>
      </c>
      <c r="S34" s="24">
        <f>SUM(S26:S33)</f>
        <v>-1177.8343039826341</v>
      </c>
      <c r="T34" s="24">
        <f>SUM(T26:T33)</f>
        <v>-1330.0900755208238</v>
      </c>
      <c r="U34" s="25">
        <f t="shared" si="4"/>
        <v>-1224.0465897517292</v>
      </c>
      <c r="V34" s="26">
        <f t="shared" si="5"/>
        <v>81.794853841989081</v>
      </c>
    </row>
    <row r="35" spans="1:22" s="2" customFormat="1" x14ac:dyDescent="0.2">
      <c r="A35" s="2" t="s">
        <v>23</v>
      </c>
      <c r="B35" s="2" t="s">
        <v>24</v>
      </c>
      <c r="C35" s="2" t="s">
        <v>73</v>
      </c>
      <c r="D35" s="2">
        <v>-2</v>
      </c>
      <c r="E35" s="2">
        <v>3</v>
      </c>
      <c r="F35" s="3">
        <v>-316.08</v>
      </c>
      <c r="G35" s="2">
        <v>1</v>
      </c>
      <c r="H35" s="3">
        <f>F35*4.184</f>
        <v>-1322.4787200000001</v>
      </c>
      <c r="I35" s="4">
        <f>H35-2.91482*D35^2*$P$3^0.5/(1+$P$5*$P$3^0.5)-E35*(-2.91482*$P$3^0.5/(1+$P$5*$P$3^0.5)+$P$6*($P$4/1000)*LN(10^-$P$2))</f>
        <v>-1203.419509572921</v>
      </c>
      <c r="J35" s="2" t="s">
        <v>95</v>
      </c>
      <c r="K35" s="2">
        <v>-3</v>
      </c>
      <c r="L35" s="2">
        <v>2</v>
      </c>
      <c r="M35" s="11">
        <f>H35-2.91482*K35^2*$P$3^0.5/(1+$P$5*$P$3^0.5)-L35*(-2.91482*$P$3^0.5/(1+$P$5*$P$3^0.5)+$P$6*($P$4/1000)*LN(10^-$P$2))</f>
        <v>-1248.2338371226881</v>
      </c>
      <c r="P35" s="27"/>
      <c r="Q35" s="28">
        <f>($M$15+3*$M$27+3*$M$36+$M$29+$M$37+$M$25+2*$M$33+2*$M$2+$M$32+$M$34)-($M$35+$M$3+$M$39+2*$M$38+$M$26+3*$M$28+4*$M$30)</f>
        <v>-1118.0031039826372</v>
      </c>
      <c r="R35" s="28">
        <f>($I$15+3*$I$27+3*$I$36+$I$29+$I$37+$I$25+2*$I$33+2*$I$2+$I$32+$I$34)-($I$35+$I$3+$I$39+2*$I$38+$I$26+3*$I$28+4*$I$30)</f>
        <v>-1270.2588755208271</v>
      </c>
      <c r="S35" s="28">
        <f>($M$16+3*$M$27+3*$M$36+$M$29+$M$37+$M$25+2*$M$33+2*$M$2+$M$32+$M$34)-($M$35+$M$3+$M$39+2*$M$38+$M$26+3*$M$28+4*$M$30)</f>
        <v>-1177.8343039826377</v>
      </c>
      <c r="T35" s="28">
        <f>($I$16+3*$I$27+3*$I$36+$I$29+$I$37+$I$25+2*$I$33+2*$I$2+$I$32+$I$34)-($I$35+$I$3+$I$39+2*$I$38+$I$26+3*$I$28+4*$I$30)</f>
        <v>-1330.0900755208277</v>
      </c>
      <c r="U35" s="29">
        <f t="shared" si="4"/>
        <v>-1224.0465897517324</v>
      </c>
      <c r="V35" s="30">
        <f t="shared" si="5"/>
        <v>81.79485384198928</v>
      </c>
    </row>
    <row r="36" spans="1:22" s="2" customFormat="1" x14ac:dyDescent="0.2">
      <c r="A36" s="6" t="s">
        <v>63</v>
      </c>
      <c r="B36" s="6" t="s">
        <v>64</v>
      </c>
      <c r="C36" s="2" t="s">
        <v>65</v>
      </c>
      <c r="D36" s="2">
        <v>-2</v>
      </c>
      <c r="E36" s="2">
        <v>1</v>
      </c>
      <c r="F36" s="3">
        <v>-261.97399999999999</v>
      </c>
      <c r="G36" s="2">
        <v>1</v>
      </c>
      <c r="H36" s="3">
        <f>F36*4.184</f>
        <v>-1096.0992160000001</v>
      </c>
      <c r="I36" s="4">
        <f>H36-2.91482*D36^2*$P$3^0.5/(1+$P$5*$P$3^0.5)-E36*(-2.91482*$P$3^0.5/(1+$P$5*$P$3^0.5)+$P$6*($P$4/1000)*LN(10^-$P$2))</f>
        <v>-1058.5719384502329</v>
      </c>
      <c r="J36" s="2" t="s">
        <v>65</v>
      </c>
      <c r="K36" s="2">
        <v>-2</v>
      </c>
      <c r="L36" s="2">
        <v>1</v>
      </c>
      <c r="M36" s="11">
        <f>H36-2.91482*K36^2*$P$3^0.5/(1+$P$5*$P$3^0.5)-L36*(-2.91482*$P$3^0.5/(1+$P$5*$P$3^0.5)+$P$6*($P$4/1000)*LN(10^-$P$2))</f>
        <v>-1058.5719384502329</v>
      </c>
    </row>
    <row r="37" spans="1:22" s="2" customFormat="1" x14ac:dyDescent="0.2">
      <c r="A37" s="2" t="s">
        <v>21</v>
      </c>
      <c r="B37" s="8" t="s">
        <v>22</v>
      </c>
      <c r="C37" s="8" t="s">
        <v>72</v>
      </c>
      <c r="D37" s="2">
        <v>-2</v>
      </c>
      <c r="E37" s="2">
        <v>2</v>
      </c>
      <c r="F37" s="3">
        <v>-480.93</v>
      </c>
      <c r="G37" s="2">
        <v>1</v>
      </c>
      <c r="H37" s="3">
        <f>F37*4.184</f>
        <v>-2012.2111200000002</v>
      </c>
      <c r="I37" s="4">
        <f>H37-2.91482*D37^2*$P$3^0.5/(1+$P$5*$P$3^0.5)-E37*(-2.91482*$P$3^0.5/(1+$P$5*$P$3^0.5)+$P$6*($P$4/1000)*LN(10^-$P$2))</f>
        <v>-1933.9178760115772</v>
      </c>
      <c r="J37" s="8" t="s">
        <v>94</v>
      </c>
      <c r="K37" s="2">
        <v>-3</v>
      </c>
      <c r="L37" s="2">
        <v>1</v>
      </c>
      <c r="M37" s="11">
        <f>H37-2.91482*K37^2*$P$3^0.5/(1+$P$5*$P$3^0.5)-L37*(-2.91482*$P$3^0.5/(1+$P$5*$P$3^0.5)+$P$6*($P$4/1000)*LN(10^-$P$2))</f>
        <v>-1978.732203561344</v>
      </c>
    </row>
    <row r="38" spans="1:22" x14ac:dyDescent="0.2">
      <c r="A38" s="2" t="s">
        <v>124</v>
      </c>
      <c r="B38" s="2" t="s">
        <v>66</v>
      </c>
      <c r="C38" s="2" t="s">
        <v>67</v>
      </c>
      <c r="D38" s="2">
        <v>1</v>
      </c>
      <c r="E38" s="2">
        <v>23</v>
      </c>
      <c r="F38" s="3">
        <v>-66.63</v>
      </c>
      <c r="G38" s="2" t="s">
        <v>76</v>
      </c>
      <c r="H38" s="3">
        <f>F38*4.184</f>
        <v>-278.77992</v>
      </c>
      <c r="I38" s="4">
        <f>H38-2.91482*D38^2*$P$3^0.5/(1+$P$5*$P$3^0.5)-E38*(-2.91482*$P$3^0.5/(1+$P$5*$P$3^0.5)+$P$6*($P$4/1000)*LN(10^-$P$2))</f>
        <v>658.02763586686547</v>
      </c>
      <c r="J38" s="2" t="s">
        <v>67</v>
      </c>
      <c r="K38" s="2">
        <v>1</v>
      </c>
      <c r="L38" s="2">
        <v>23</v>
      </c>
      <c r="M38" s="11">
        <f>H38-2.91482*K38^2*$P$3^0.5/(1+$P$5*$P$3^0.5)-L38*(-2.91482*$P$3^0.5/(1+$P$5*$P$3^0.5)+$P$6*($P$4/1000)*LN(10^-$P$2))</f>
        <v>658.02763586686547</v>
      </c>
    </row>
    <row r="39" spans="1:22" x14ac:dyDescent="0.2">
      <c r="A39" s="2" t="s">
        <v>127</v>
      </c>
      <c r="B39" s="8" t="s">
        <v>16</v>
      </c>
      <c r="C39" s="8" t="s">
        <v>17</v>
      </c>
      <c r="D39" s="2">
        <v>0</v>
      </c>
      <c r="E39" s="2">
        <v>11</v>
      </c>
      <c r="F39" s="5">
        <v>-90.53</v>
      </c>
      <c r="G39" s="2">
        <v>1</v>
      </c>
      <c r="H39" s="3">
        <f>F39*4.184</f>
        <v>-378.77752000000004</v>
      </c>
      <c r="I39" s="4">
        <f>H39-2.91482*D39^2*$P$3^0.5/(1+$P$5*$P$3^0.5)-E39*(-2.91482*$P$3^0.5/(1+$P$5*$P$3^0.5)+$P$6*($P$4/1000)*LN(10^-$P$2))</f>
        <v>69.648110825215838</v>
      </c>
      <c r="J39" s="8" t="s">
        <v>17</v>
      </c>
      <c r="K39" s="2">
        <v>0</v>
      </c>
      <c r="L39" s="2">
        <v>11</v>
      </c>
      <c r="M39" s="11">
        <f>H39-2.91482*K39^2*$P$3^0.5/(1+$P$5*$P$3^0.5)-L39*(-2.91482*$P$3^0.5/(1+$P$5*$P$3^0.5)+$P$6*($P$4/1000)*LN(10^-$P$2))</f>
        <v>69.648110825215838</v>
      </c>
    </row>
  </sheetData>
  <sortState ref="A2:M39">
    <sortCondition ref="A1"/>
  </sortState>
  <pageMargins left="0.7" right="0.7" top="0.75" bottom="0.75" header="0.3" footer="0.3"/>
  <ignoredErrors>
    <ignoredError sqref="R12:R13 R15:R17 S12:S13 R19 S19 R21 S15:S17 R26:R27 S26:S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FC80-66A8-A94C-A37F-DFBB68AA0C89}">
  <dimension ref="A1:B10"/>
  <sheetViews>
    <sheetView workbookViewId="0">
      <selection activeCell="B9" sqref="B9"/>
    </sheetView>
  </sheetViews>
  <sheetFormatPr baseColWidth="10" defaultRowHeight="16" x14ac:dyDescent="0.2"/>
  <cols>
    <col min="1" max="16384" width="10.83203125" style="16"/>
  </cols>
  <sheetData>
    <row r="1" spans="1:2" x14ac:dyDescent="0.2">
      <c r="A1" s="16" t="s">
        <v>69</v>
      </c>
    </row>
    <row r="2" spans="1:2" x14ac:dyDescent="0.2">
      <c r="A2" s="16">
        <v>1</v>
      </c>
      <c r="B2" s="16" t="s">
        <v>115</v>
      </c>
    </row>
    <row r="3" spans="1:2" x14ac:dyDescent="0.2">
      <c r="A3" s="16">
        <v>2</v>
      </c>
      <c r="B3" s="16" t="s">
        <v>116</v>
      </c>
    </row>
    <row r="4" spans="1:2" x14ac:dyDescent="0.2">
      <c r="A4" s="16">
        <v>3</v>
      </c>
      <c r="B4" s="16" t="s">
        <v>75</v>
      </c>
    </row>
    <row r="5" spans="1:2" x14ac:dyDescent="0.2">
      <c r="A5" s="16">
        <v>4</v>
      </c>
      <c r="B5" s="16" t="s">
        <v>77</v>
      </c>
    </row>
    <row r="6" spans="1:2" x14ac:dyDescent="0.2">
      <c r="A6" s="16">
        <v>5</v>
      </c>
      <c r="B6" s="16" t="s">
        <v>148</v>
      </c>
    </row>
    <row r="9" spans="1:2" x14ac:dyDescent="0.2">
      <c r="A9" s="16" t="s">
        <v>114</v>
      </c>
    </row>
    <row r="10" spans="1:2" x14ac:dyDescent="0.2">
      <c r="A10" s="16">
        <v>1</v>
      </c>
      <c r="B10" s="16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deltaG of formations</vt:lpstr>
      <vt:lpstr>References and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2019-08-26T04:16:11Z</dcterms:created>
  <dcterms:modified xsi:type="dcterms:W3CDTF">2019-08-27T12:24:44Z</dcterms:modified>
</cp:coreProperties>
</file>